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isa\Documents\"/>
    </mc:Choice>
  </mc:AlternateContent>
  <xr:revisionPtr revIDLastSave="0" documentId="8_{42C2A6BD-5DE6-4C67-8E84-4FFBD9B9FBAC}" xr6:coauthVersionLast="34" xr6:coauthVersionMax="34" xr10:uidLastSave="{00000000-0000-0000-0000-000000000000}"/>
  <bookViews>
    <workbookView xWindow="0" yWindow="0" windowWidth="24000" windowHeight="9525" activeTab="3" xr2:uid="{807897D4-27AB-4E4A-89AC-8AA26AABA555}"/>
  </bookViews>
  <sheets>
    <sheet name="Hoja1" sheetId="1" r:id="rId1"/>
    <sheet name="Hoja2" sheetId="2" r:id="rId2"/>
    <sheet name="Hoja4" sheetId="4" r:id="rId3"/>
    <sheet name="Hoja3" sheetId="3" r:id="rId4"/>
    <sheet name="Hoja5" sheetId="5" r:id="rId5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5" l="1"/>
  <c r="D19" i="4" l="1"/>
  <c r="D19" i="3"/>
  <c r="J8" i="2"/>
  <c r="J9" i="2"/>
  <c r="J10" i="2"/>
  <c r="J11" i="2"/>
  <c r="J12" i="2"/>
  <c r="I14" i="2" l="1"/>
  <c r="C14" i="2"/>
  <c r="O12" i="2"/>
  <c r="L12" i="2"/>
  <c r="D12" i="2"/>
  <c r="O11" i="2"/>
  <c r="L11" i="2"/>
  <c r="D11" i="2"/>
  <c r="O10" i="2"/>
  <c r="L10" i="2"/>
  <c r="D10" i="2"/>
  <c r="F10" i="2" s="1"/>
  <c r="O9" i="2"/>
  <c r="L9" i="2"/>
  <c r="D9" i="2"/>
  <c r="F9" i="2" s="1"/>
  <c r="O8" i="2"/>
  <c r="L8" i="2"/>
  <c r="D8" i="2"/>
  <c r="D7" i="2"/>
  <c r="O6" i="2"/>
  <c r="J6" i="2"/>
  <c r="L6" i="2" s="1"/>
  <c r="D6" i="2"/>
  <c r="F6" i="2" s="1"/>
  <c r="O5" i="2"/>
  <c r="J5" i="2"/>
  <c r="L5" i="2" s="1"/>
  <c r="D5" i="2"/>
  <c r="I12" i="1"/>
  <c r="D34" i="1"/>
  <c r="C12" i="1"/>
  <c r="D12" i="1" s="1"/>
  <c r="C34" i="1"/>
  <c r="F34" i="1" s="1"/>
  <c r="P23" i="1"/>
  <c r="N23" i="1"/>
  <c r="O23" i="1"/>
  <c r="D5" i="1"/>
  <c r="F5" i="1" s="1"/>
  <c r="O3" i="1"/>
  <c r="O4" i="1"/>
  <c r="O6" i="1"/>
  <c r="O7" i="1"/>
  <c r="O8" i="1"/>
  <c r="O9" i="1"/>
  <c r="O10" i="1"/>
  <c r="O11" i="1"/>
  <c r="O13" i="1"/>
  <c r="J9" i="1"/>
  <c r="L9" i="1" s="1"/>
  <c r="J10" i="1"/>
  <c r="L10" i="1" s="1"/>
  <c r="J32" i="1"/>
  <c r="M27" i="1"/>
  <c r="L17" i="1"/>
  <c r="I18" i="1" s="1"/>
  <c r="E17" i="1"/>
  <c r="C18" i="1" s="1"/>
  <c r="J3" i="1"/>
  <c r="L3" i="1" s="1"/>
  <c r="J4" i="1"/>
  <c r="L4" i="1" s="1"/>
  <c r="J6" i="1"/>
  <c r="L6" i="1" s="1"/>
  <c r="J7" i="1"/>
  <c r="L7" i="1" s="1"/>
  <c r="J8" i="1"/>
  <c r="L8" i="1" s="1"/>
  <c r="J11" i="1"/>
  <c r="L11" i="1" s="1"/>
  <c r="J12" i="1"/>
  <c r="L12" i="1" s="1"/>
  <c r="J13" i="1"/>
  <c r="D4" i="1"/>
  <c r="F4" i="1" s="1"/>
  <c r="D6" i="1"/>
  <c r="F6" i="1" s="1"/>
  <c r="D7" i="1"/>
  <c r="F7" i="1" s="1"/>
  <c r="D8" i="1"/>
  <c r="F8" i="1" s="1"/>
  <c r="D9" i="1"/>
  <c r="D10" i="1"/>
  <c r="F10" i="1" s="1"/>
  <c r="D3" i="1"/>
  <c r="F3" i="1" s="1"/>
  <c r="D11" i="1"/>
  <c r="F11" i="1" s="1"/>
  <c r="D13" i="1"/>
  <c r="F13" i="1" s="1"/>
  <c r="M5" i="2" l="1"/>
  <c r="F5" i="2"/>
  <c r="M11" i="2"/>
  <c r="F11" i="2"/>
  <c r="O12" i="1"/>
  <c r="M8" i="2"/>
  <c r="F8" i="2"/>
  <c r="N8" i="2" s="1"/>
  <c r="M12" i="2"/>
  <c r="F12" i="2"/>
  <c r="N5" i="2"/>
  <c r="O14" i="2"/>
  <c r="N10" i="2"/>
  <c r="N6" i="2"/>
  <c r="N9" i="2"/>
  <c r="M10" i="2"/>
  <c r="N11" i="2"/>
  <c r="M6" i="2"/>
  <c r="M9" i="2"/>
  <c r="M6" i="1"/>
  <c r="M10" i="1"/>
  <c r="M9" i="1"/>
  <c r="M8" i="1"/>
  <c r="M11" i="1"/>
  <c r="M7" i="1"/>
  <c r="N3" i="1"/>
  <c r="M3" i="1"/>
  <c r="F12" i="1"/>
  <c r="M13" i="1"/>
  <c r="M4" i="1"/>
  <c r="L13" i="1"/>
  <c r="N13" i="1" s="1"/>
  <c r="L18" i="1"/>
  <c r="M18" i="1" s="1"/>
  <c r="M17" i="1"/>
  <c r="E18" i="1"/>
  <c r="C19" i="1" s="1"/>
  <c r="F17" i="1"/>
  <c r="F9" i="1"/>
  <c r="N9" i="1" s="1"/>
  <c r="N11" i="1"/>
  <c r="N7" i="1"/>
  <c r="N8" i="1"/>
  <c r="N4" i="1"/>
  <c r="N10" i="1"/>
  <c r="N6" i="1"/>
  <c r="N12" i="2" l="1"/>
  <c r="M14" i="2"/>
  <c r="M12" i="1"/>
  <c r="F18" i="1"/>
  <c r="I19" i="1"/>
  <c r="L19" i="1" s="1"/>
  <c r="M19" i="1" s="1"/>
  <c r="E19" i="1"/>
  <c r="F19" i="1" s="1"/>
  <c r="C20" i="1"/>
  <c r="I20" i="1" l="1"/>
  <c r="E20" i="1"/>
  <c r="C21" i="1" s="1"/>
  <c r="L20" i="1" l="1"/>
  <c r="F20" i="1"/>
  <c r="E21" i="1"/>
  <c r="F21" i="1" s="1"/>
  <c r="C22" i="1" l="1"/>
  <c r="E22" i="1" s="1"/>
  <c r="F22" i="1" s="1"/>
  <c r="M20" i="1"/>
  <c r="I21" i="1"/>
  <c r="C23" i="1" l="1"/>
  <c r="L21" i="1"/>
  <c r="I22" i="1" s="1"/>
  <c r="M21" i="1" l="1"/>
  <c r="E23" i="1"/>
  <c r="C24" i="1" s="1"/>
  <c r="L22" i="1"/>
  <c r="I23" i="1" s="1"/>
  <c r="E24" i="1" l="1"/>
  <c r="C25" i="1" s="1"/>
  <c r="E25" i="1" s="1"/>
  <c r="F25" i="1" s="1"/>
  <c r="F23" i="1"/>
  <c r="L23" i="1"/>
  <c r="M23" i="1" s="1"/>
  <c r="M22" i="1"/>
  <c r="F24" i="1" l="1"/>
  <c r="I24" i="1"/>
  <c r="L24" i="1" l="1"/>
  <c r="M24" i="1" l="1"/>
  <c r="I25" i="1"/>
  <c r="L25" i="1" s="1"/>
  <c r="M25" i="1" s="1"/>
</calcChain>
</file>

<file path=xl/sharedStrings.xml><?xml version="1.0" encoding="utf-8"?>
<sst xmlns="http://schemas.openxmlformats.org/spreadsheetml/2006/main" count="105" uniqueCount="82">
  <si>
    <t>Columna14</t>
  </si>
  <si>
    <t>Columna15</t>
  </si>
  <si>
    <t>Columna16</t>
  </si>
  <si>
    <t>AÑO</t>
  </si>
  <si>
    <t>TUA NACIONAL dlls</t>
  </si>
  <si>
    <t>TIPO de CAMBIO</t>
  </si>
  <si>
    <t>TUA INTERNACIONAL dlls</t>
  </si>
  <si>
    <t>TIPO de CAMBIO2</t>
  </si>
  <si>
    <t>No. DE PASAJEROS INTERNACIONAL</t>
  </si>
  <si>
    <t>TOTAL DE PASAJEROS</t>
  </si>
  <si>
    <t>AÑO2</t>
  </si>
  <si>
    <t>TOTAL DE TUA/MN</t>
  </si>
  <si>
    <t>TOTAL TUA/PASAJEROS dlls3</t>
  </si>
  <si>
    <t>MN</t>
  </si>
  <si>
    <t>NACIONALES</t>
  </si>
  <si>
    <t>INTERNACIONALES</t>
  </si>
  <si>
    <t>TUA/PASAJEROSdlls</t>
  </si>
  <si>
    <t>TUA/PASAJEROS MN</t>
  </si>
  <si>
    <t>No. DE PASAJEROS1 NAC</t>
  </si>
  <si>
    <t>TUA/PASAJEROS1 dlls</t>
  </si>
  <si>
    <t>TUA/PASAJEROS1 NAC MN.</t>
  </si>
  <si>
    <t>Totales</t>
  </si>
  <si>
    <t xml:space="preserve"> PASAJEROS NACIONALES</t>
  </si>
  <si>
    <t xml:space="preserve">TUA MN </t>
  </si>
  <si>
    <t>TUA MN</t>
  </si>
  <si>
    <t xml:space="preserve"> PASAJEROS INTERNACIONAL</t>
  </si>
  <si>
    <t>VUELOS NACIONALES</t>
  </si>
  <si>
    <t>VUELOS INTERNACIONALES</t>
  </si>
  <si>
    <t>TOTALES</t>
  </si>
  <si>
    <t>TOTAL TUA/MN</t>
  </si>
  <si>
    <t>TUA DLLS</t>
  </si>
  <si>
    <t>TUA DLLS2</t>
  </si>
  <si>
    <t>TUA  DLLS</t>
  </si>
  <si>
    <t>TUA DLLS3</t>
  </si>
  <si>
    <t>TOTAL TUA DLLS</t>
  </si>
  <si>
    <t>TOTAL TUA /DLLS</t>
  </si>
  <si>
    <t xml:space="preserve">      5  %  de   Incremento  anual del TUA  nacional</t>
  </si>
  <si>
    <t xml:space="preserve">   18   %  de incremento anual del TUA internacinal </t>
  </si>
  <si>
    <t xml:space="preserve">      3  %  de Incremento anual de Pasajeros Nacionales</t>
  </si>
  <si>
    <t>TUA/PASAJEROS DLLS</t>
  </si>
  <si>
    <t>TUA/PASAJEROS  MN</t>
  </si>
  <si>
    <t>2017 *</t>
  </si>
  <si>
    <t>2018 *</t>
  </si>
  <si>
    <t>* TARIFA INDIVIDUAL TUA  DLLS</t>
  </si>
  <si>
    <t>** PASAJEROS INTERNACIONAL</t>
  </si>
  <si>
    <t xml:space="preserve">18 % Incremento anual TUA tarifa Internacional   </t>
  </si>
  <si>
    <t xml:space="preserve">    (Se uso un menor % de incremento de pasajeros por la saturación del AICM.)</t>
  </si>
  <si>
    <t xml:space="preserve">8  %  Incremento anual de PASAJEROS Internacional              </t>
  </si>
  <si>
    <t>elaboró:  Ing. Eloisa Dávalos</t>
  </si>
  <si>
    <t xml:space="preserve">    (Se utilizó un promedio algo menor del real.) </t>
  </si>
  <si>
    <t>* TUA del 2017 al 2018 el incremento real fue de  22.18  %                                                        (  Datos 2017  Ref.  Sitio del AICM oficial )</t>
  </si>
  <si>
    <t>** 12.1 %  fue el incremento real de pasajeros internacionales  en el 2017.                         ( Datos 2017  Ref.  Sitio del AICM oficial )</t>
  </si>
  <si>
    <t xml:space="preserve">5 % Incremento anual TUA tarifa Nacional   </t>
  </si>
  <si>
    <t xml:space="preserve">3  %  Incremento anual de PASAJEROS Internacional              </t>
  </si>
  <si>
    <t>* TUA DLLS</t>
  </si>
  <si>
    <t>** PASAJEROS NACIONALES</t>
  </si>
  <si>
    <t>** 4.8 %  fue el incremento real de pasajeros internacionales  en el 2017.                              ( Datos 2017  Ref.  Sitio del AICM oficial )</t>
  </si>
  <si>
    <t xml:space="preserve">       (Se uso un menor % de incremento de pasajeros por la saturación del AICM.)</t>
  </si>
  <si>
    <t xml:space="preserve">       (Se utilizó un promedio algo menor del real.) </t>
  </si>
  <si>
    <t>* TUA del 2017 al 2018 el incremento real fue de  0 %                                                                 (  Datos 2017  Ref.  Sitio del AICM oficial )</t>
  </si>
  <si>
    <t>*Valores menores a lo real del 2017 en porcentaje,  considerando la saturación del AICM.</t>
  </si>
  <si>
    <t>*TOTALES TUA Y PASAJEROS NACIONAL E INTERNACIONAL del 2019 al 2023</t>
  </si>
  <si>
    <t xml:space="preserve">      8  %  de Incremento anual de Pasajeros Internacionales</t>
  </si>
  <si>
    <t>Al 2018 datos reales:</t>
  </si>
  <si>
    <t>4%  TUA Nacional</t>
  </si>
  <si>
    <t>22 % TUA Internacional</t>
  </si>
  <si>
    <t>4.8 %  Pasaje Nacional</t>
  </si>
  <si>
    <t xml:space="preserve">12.1 % Pasaje Internacional </t>
  </si>
  <si>
    <t>Fuente: Sitio oficial del AICM</t>
  </si>
  <si>
    <t xml:space="preserve">     $13,300.00 mdd</t>
  </si>
  <si>
    <t>T de C= $22.50</t>
  </si>
  <si>
    <t xml:space="preserve">$299,250 mdp </t>
  </si>
  <si>
    <t>VALOR DE LA OBRA</t>
  </si>
  <si>
    <t>NAIM 2023</t>
  </si>
  <si>
    <t>PROYECCIÓN DE No. DE PASAJEROS NACIONALES E INGRESOS POR TUA DEL 2019 AL 2023</t>
  </si>
  <si>
    <t>PROYECCIÓN DE No. DE PASAJEROS INTERNACIONALES E INGRESOS POR TUA DEL 2019 AL 2013</t>
  </si>
  <si>
    <t xml:space="preserve">                </t>
  </si>
  <si>
    <t xml:space="preserve">              </t>
  </si>
  <si>
    <t xml:space="preserve">                 </t>
  </si>
  <si>
    <t xml:space="preserve">HOJA  1/3 </t>
  </si>
  <si>
    <t>HOJA 2/3</t>
  </si>
  <si>
    <t>HOJA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</si>
</sst>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/>
    <xf numFmtId="43" fontId="0" fillId="0" borderId="0" xfId="1" applyFont="1"/>
    <xf numFmtId="43" fontId="0" fillId="2" borderId="1" xfId="1" applyNumberFormat="1" applyFont="1" applyFill="1" applyBorder="1"/>
    <xf numFmtId="43" fontId="0" fillId="0" borderId="0" xfId="0" applyNumberFormat="1"/>
    <xf numFmtId="43" fontId="0" fillId="0" borderId="1" xfId="1" applyNumberFormat="1" applyFont="1" applyBorder="1"/>
    <xf numFmtId="44" fontId="0" fillId="0" borderId="0" xfId="2" applyFont="1" applyAlignment="1">
      <alignment horizontal="center"/>
    </xf>
    <xf numFmtId="44" fontId="0" fillId="2" borderId="1" xfId="2" applyNumberFormat="1" applyFont="1" applyFill="1" applyBorder="1" applyAlignment="1">
      <alignment horizontal="center"/>
    </xf>
    <xf numFmtId="44" fontId="0" fillId="0" borderId="0" xfId="0" applyNumberFormat="1"/>
    <xf numFmtId="0" fontId="0" fillId="0" borderId="0" xfId="2" applyNumberFormat="1" applyFont="1"/>
    <xf numFmtId="0" fontId="0" fillId="0" borderId="0" xfId="0" applyNumberFormat="1"/>
    <xf numFmtId="0" fontId="0" fillId="0" borderId="0" xfId="2" applyNumberFormat="1" applyFont="1" applyAlignment="1">
      <alignment horizontal="center"/>
    </xf>
    <xf numFmtId="44" fontId="0" fillId="0" borderId="0" xfId="2" applyNumberFormat="1" applyFont="1" applyAlignment="1">
      <alignment horizontal="center"/>
    </xf>
    <xf numFmtId="9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/>
    </xf>
    <xf numFmtId="0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5" borderId="0" xfId="0" applyFont="1" applyFill="1" applyAlignment="1">
      <alignment horizontal="center"/>
    </xf>
    <xf numFmtId="44" fontId="2" fillId="5" borderId="0" xfId="2" applyFont="1" applyFill="1" applyAlignment="1">
      <alignment horizontal="center"/>
    </xf>
    <xf numFmtId="43" fontId="2" fillId="5" borderId="1" xfId="1" applyNumberFormat="1" applyFont="1" applyFill="1" applyBorder="1"/>
    <xf numFmtId="44" fontId="2" fillId="5" borderId="0" xfId="2" applyFont="1" applyFill="1"/>
    <xf numFmtId="43" fontId="2" fillId="5" borderId="0" xfId="0" applyNumberFormat="1" applyFont="1" applyFill="1"/>
    <xf numFmtId="0" fontId="2" fillId="5" borderId="0" xfId="0" applyFont="1" applyFill="1"/>
    <xf numFmtId="0" fontId="2" fillId="0" borderId="0" xfId="0" applyFont="1" applyAlignment="1">
      <alignment horizontal="center"/>
    </xf>
    <xf numFmtId="0" fontId="0" fillId="0" borderId="0" xfId="0" applyBorder="1"/>
    <xf numFmtId="0" fontId="4" fillId="4" borderId="3" xfId="0" applyFont="1" applyFill="1" applyBorder="1" applyAlignment="1">
      <alignment horizontal="center" wrapText="1"/>
    </xf>
    <xf numFmtId="9" fontId="4" fillId="0" borderId="3" xfId="2" applyNumberFormat="1" applyFont="1" applyBorder="1" applyAlignment="1">
      <alignment horizontal="center"/>
    </xf>
    <xf numFmtId="9" fontId="4" fillId="0" borderId="3" xfId="1" applyNumberFormat="1" applyFont="1" applyBorder="1" applyAlignment="1">
      <alignment horizontal="center"/>
    </xf>
    <xf numFmtId="0" fontId="3" fillId="0" borderId="3" xfId="0" applyNumberFormat="1" applyFont="1" applyBorder="1"/>
    <xf numFmtId="0" fontId="3" fillId="0" borderId="3" xfId="0" applyFont="1" applyBorder="1"/>
    <xf numFmtId="0" fontId="3" fillId="0" borderId="3" xfId="2" applyNumberFormat="1" applyFont="1" applyBorder="1" applyAlignment="1">
      <alignment horizontal="center"/>
    </xf>
    <xf numFmtId="44" fontId="3" fillId="0" borderId="3" xfId="2" applyFont="1" applyBorder="1" applyAlignment="1">
      <alignment horizontal="center"/>
    </xf>
    <xf numFmtId="43" fontId="3" fillId="0" borderId="3" xfId="1" applyFont="1" applyBorder="1"/>
    <xf numFmtId="44" fontId="3" fillId="0" borderId="3" xfId="2" applyFont="1" applyBorder="1"/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3" fillId="0" borderId="8" xfId="2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6" borderId="0" xfId="0" applyFont="1" applyFill="1" applyBorder="1" applyAlignment="1">
      <alignment horizontal="center" wrapText="1"/>
    </xf>
    <xf numFmtId="44" fontId="3" fillId="0" borderId="3" xfId="2" applyNumberFormat="1" applyFont="1" applyBorder="1" applyAlignment="1">
      <alignment horizontal="center"/>
    </xf>
    <xf numFmtId="0" fontId="8" fillId="6" borderId="5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wrapText="1"/>
    </xf>
    <xf numFmtId="0" fontId="8" fillId="6" borderId="20" xfId="0" applyFont="1" applyFill="1" applyBorder="1" applyAlignment="1">
      <alignment horizontal="center" wrapText="1"/>
    </xf>
    <xf numFmtId="0" fontId="8" fillId="6" borderId="12" xfId="0" applyFont="1" applyFill="1" applyBorder="1" applyAlignment="1">
      <alignment horizontal="center" wrapText="1"/>
    </xf>
    <xf numFmtId="0" fontId="4" fillId="0" borderId="7" xfId="0" applyFont="1" applyBorder="1"/>
    <xf numFmtId="0" fontId="5" fillId="4" borderId="3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44" fontId="4" fillId="5" borderId="10" xfId="2" applyFont="1" applyFill="1" applyBorder="1" applyAlignment="1">
      <alignment horizontal="center"/>
    </xf>
    <xf numFmtId="44" fontId="4" fillId="5" borderId="10" xfId="2" applyFont="1" applyFill="1" applyBorder="1"/>
    <xf numFmtId="44" fontId="4" fillId="5" borderId="11" xfId="2" applyFont="1" applyFill="1" applyBorder="1" applyAlignment="1">
      <alignment horizontal="center"/>
    </xf>
    <xf numFmtId="0" fontId="9" fillId="0" borderId="0" xfId="0" applyFont="1"/>
    <xf numFmtId="43" fontId="3" fillId="0" borderId="3" xfId="1" applyFont="1" applyBorder="1" applyAlignment="1">
      <alignment horizontal="center"/>
    </xf>
    <xf numFmtId="43" fontId="4" fillId="5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5" xfId="0" applyFont="1" applyBorder="1"/>
    <xf numFmtId="0" fontId="9" fillId="0" borderId="26" xfId="0" applyFont="1" applyBorder="1"/>
    <xf numFmtId="0" fontId="9" fillId="0" borderId="26" xfId="0" applyFont="1" applyBorder="1" applyAlignment="1">
      <alignment horizontal="center"/>
    </xf>
    <xf numFmtId="0" fontId="9" fillId="0" borderId="19" xfId="0" applyFont="1" applyBorder="1"/>
    <xf numFmtId="0" fontId="9" fillId="0" borderId="2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9" fontId="4" fillId="0" borderId="3" xfId="0" applyNumberFormat="1" applyFont="1" applyBorder="1" applyAlignment="1">
      <alignment horizontal="center"/>
    </xf>
    <xf numFmtId="44" fontId="3" fillId="0" borderId="8" xfId="2" applyFont="1" applyBorder="1"/>
    <xf numFmtId="0" fontId="3" fillId="0" borderId="8" xfId="2" applyNumberFormat="1" applyFont="1" applyBorder="1"/>
    <xf numFmtId="43" fontId="4" fillId="5" borderId="10" xfId="1" applyNumberFormat="1" applyFont="1" applyFill="1" applyBorder="1"/>
    <xf numFmtId="44" fontId="4" fillId="5" borderId="11" xfId="2" applyFont="1" applyFill="1" applyBorder="1"/>
    <xf numFmtId="0" fontId="9" fillId="0" borderId="0" xfId="0" applyFont="1" applyBorder="1"/>
    <xf numFmtId="164" fontId="0" fillId="0" borderId="0" xfId="0" applyNumberFormat="1"/>
    <xf numFmtId="0" fontId="7" fillId="6" borderId="4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7" xfId="0" applyFont="1" applyBorder="1"/>
    <xf numFmtId="0" fontId="4" fillId="5" borderId="28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0" xfId="0" applyFill="1"/>
    <xf numFmtId="0" fontId="4" fillId="5" borderId="20" xfId="0" applyFont="1" applyFill="1" applyBorder="1" applyAlignment="1">
      <alignment horizontal="center"/>
    </xf>
    <xf numFmtId="43" fontId="4" fillId="5" borderId="21" xfId="0" applyNumberFormat="1" applyFont="1" applyFill="1" applyBorder="1"/>
    <xf numFmtId="44" fontId="4" fillId="5" borderId="3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44" fontId="4" fillId="0" borderId="3" xfId="2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wrapText="1"/>
    </xf>
    <xf numFmtId="43" fontId="4" fillId="6" borderId="3" xfId="0" applyNumberFormat="1" applyFont="1" applyFill="1" applyBorder="1" applyAlignment="1">
      <alignment vertical="center"/>
    </xf>
    <xf numFmtId="44" fontId="4" fillId="6" borderId="3" xfId="2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43" fontId="4" fillId="5" borderId="30" xfId="0" applyNumberFormat="1" applyFont="1" applyFill="1" applyBorder="1" applyAlignment="1">
      <alignment horizontal="center"/>
    </xf>
    <xf numFmtId="43" fontId="4" fillId="0" borderId="3" xfId="0" applyNumberFormat="1" applyFont="1" applyFill="1" applyBorder="1" applyAlignment="1">
      <alignment horizontal="center"/>
    </xf>
    <xf numFmtId="43" fontId="4" fillId="6" borderId="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/>
    <xf numFmtId="9" fontId="9" fillId="0" borderId="3" xfId="0" applyNumberFormat="1" applyFont="1" applyBorder="1" applyAlignment="1"/>
    <xf numFmtId="0" fontId="9" fillId="0" borderId="3" xfId="0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23"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505D75-8D54-40A6-B483-6F7705521B27}" name="Tabla1" displayName="Tabla1" ref="A1:R13" totalsRowShown="0">
  <autoFilter ref="A1:R13" xr:uid="{8B6C5D9E-DFF8-43B8-A068-F2B2C5A4F8BF}"/>
  <tableColumns count="18">
    <tableColumn id="1" xr3:uid="{692ADB04-5CB1-4E1F-AA0B-3D6C6A4D8CEF}" name="AÑO" dataDxfId="22"/>
    <tableColumn id="2" xr3:uid="{31F0A42F-5EC1-423C-A181-E257A34DFEF9}" name="TUA NACIONAL dlls" dataDxfId="21" dataCellStyle="Moneda"/>
    <tableColumn id="3" xr3:uid="{D4A113FE-7AD6-4764-AA5B-9171D8745D41}" name="No. DE PASAJEROS1 NAC"/>
    <tableColumn id="4" xr3:uid="{EEC85C00-483E-40B6-9B24-05B741A0C11C}" name="TUA/PASAJEROS1 dlls" dataCellStyle="Moneda">
      <calculatedColumnFormula>Tabla1[[#This Row],[TUA NACIONAL dlls]]*Tabla1[[#This Row],[No. DE PASAJEROS1 NAC]]</calculatedColumnFormula>
    </tableColumn>
    <tableColumn id="5" xr3:uid="{10982AA0-6303-4FAF-AA42-9FAF60BA5E8C}" name="TIPO de CAMBIO"/>
    <tableColumn id="6" xr3:uid="{938ACC5A-7763-466D-9575-31D01196AD42}" name="TUA/PASAJEROS1 NAC MN." dataDxfId="20" dataCellStyle="Moneda">
      <calculatedColumnFormula>Tabla1[[#This Row],[TUA/PASAJEROS1 dlls]]*Tabla1[[#This Row],[TIPO de CAMBIO]]</calculatedColumnFormula>
    </tableColumn>
    <tableColumn id="18" xr3:uid="{48369852-26E6-4FA4-B8FB-A94F9439D9E2}" name="AÑO2" dataDxfId="19"/>
    <tableColumn id="7" xr3:uid="{5E86BFFB-36DB-4074-B103-1D8CE399F9E2}" name="TUA INTERNACIONAL dlls" dataDxfId="18" dataCellStyle="Moneda"/>
    <tableColumn id="8" xr3:uid="{7DA72CFF-4A9D-483A-BB49-5D2423E39E62}" name="No. DE PASAJEROS INTERNACIONAL" dataDxfId="17" dataCellStyle="Millares"/>
    <tableColumn id="9" xr3:uid="{2BFF06AA-A3C9-4F9A-AA6F-B320A4645E5D}" name="TUA/PASAJEROSdlls" dataDxfId="16">
      <calculatedColumnFormula>Tabla1[[#This Row],[TUA INTERNACIONAL dlls]]*Tabla1[[#This Row],[No. DE PASAJEROS INTERNACIONAL]]</calculatedColumnFormula>
    </tableColumn>
    <tableColumn id="10" xr3:uid="{31E66B5B-5594-4C7F-8F54-5547219CDA65}" name="TIPO de CAMBIO2"/>
    <tableColumn id="11" xr3:uid="{02B3C743-2784-4675-BD28-900C4376DA06}" name="TUA/PASAJEROS MN" dataDxfId="15" dataCellStyle="Moneda">
      <calculatedColumnFormula>Tabla1[[#This Row],[TUA/PASAJEROSdlls]]*Tabla1[[#This Row],[TIPO de CAMBIO2]]</calculatedColumnFormula>
    </tableColumn>
    <tableColumn id="19" xr3:uid="{129DBE8E-C547-442F-B28C-57832BAFCE49}" name="TOTAL TUA/PASAJEROS dlls3" dataDxfId="14" dataCellStyle="Moneda">
      <calculatedColumnFormula>Tabla1[[#This Row],[TUA/PASAJEROS1 dlls]]+Tabla1[[#This Row],[TUA/PASAJEROSdlls]]</calculatedColumnFormula>
    </tableColumn>
    <tableColumn id="12" xr3:uid="{C5DA4765-D4B1-4DDD-8474-B36938520276}" name="TOTAL DE TUA/MN" dataDxfId="13" dataCellStyle="Moneda">
      <calculatedColumnFormula>Tabla1[[#This Row],[TUA/PASAJEROS1 NAC MN.]]+Tabla1[[#This Row],[TUA/PASAJEROS MN]]</calculatedColumnFormula>
    </tableColumn>
    <tableColumn id="13" xr3:uid="{7240B75E-BECA-465D-BD08-510453B86B79}" name="TOTAL DE PASAJEROS" dataDxfId="12">
      <calculatedColumnFormula>Tabla1[[#This Row],[No. DE PASAJEROS1 NAC]]+Tabla1[[#This Row],[No. DE PASAJEROS INTERNACIONAL]]</calculatedColumnFormula>
    </tableColumn>
    <tableColumn id="14" xr3:uid="{917D2078-AC1E-4036-97C8-8303178A7B4C}" name="Columna14"/>
    <tableColumn id="15" xr3:uid="{E9F54F1A-2EE1-4F6A-9A8B-AC4F77F92048}" name="Columna15"/>
    <tableColumn id="16" xr3:uid="{A1C660F5-AB7E-4BBC-AEC0-4DCE97AFC414}" name="Columna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4C9BF9-6D6F-40A2-92CF-CEDD4736F5EF}" name="Tabla14" displayName="Tabla14" ref="A3:O15" totalsRowShown="0" headerRowDxfId="11">
  <autoFilter ref="A3:O15" xr:uid="{DCA6BF02-DEE8-4A94-BD4D-4A8997656ED1}"/>
  <tableColumns count="15">
    <tableColumn id="1" xr3:uid="{D9EC1573-6ED2-41A4-842C-CC5E05EFFA88}" name="AÑO" dataDxfId="10"/>
    <tableColumn id="2" xr3:uid="{4E91CAA7-F899-452E-A1E9-EE7639D14672}" name="TUA DLLS" dataDxfId="9" dataCellStyle="Moneda"/>
    <tableColumn id="3" xr3:uid="{CDD5C82D-14E8-4E74-AD95-E00458C9366D}" name=" PASAJEROS NACIONALES"/>
    <tableColumn id="4" xr3:uid="{CA92B53D-4F31-4D95-80BA-FBA5C51DEB6D}" name="TUA DLLS2" dataCellStyle="Moneda">
      <calculatedColumnFormula>Tabla14[[#This Row],[TUA DLLS]]*Tabla14[[#This Row],[ PASAJEROS NACIONALES]]</calculatedColumnFormula>
    </tableColumn>
    <tableColumn id="5" xr3:uid="{ED232089-7516-47EE-9DBC-1F38B2BEF2B8}" name="TIPO de CAMBIO"/>
    <tableColumn id="6" xr3:uid="{5C82176B-AB91-4A4B-B66B-EED2CBB9733B}" name="TUA MN " dataDxfId="8" dataCellStyle="Moneda">
      <calculatedColumnFormula>Tabla14[[#This Row],[TUA DLLS2]]*Tabla14[[#This Row],[TIPO de CAMBIO]]</calculatedColumnFormula>
    </tableColumn>
    <tableColumn id="18" xr3:uid="{B5B8484F-B74D-40CC-85F3-AB88F10A81DE}" name="AÑO2" dataDxfId="7"/>
    <tableColumn id="7" xr3:uid="{14E5DAE4-83FE-41A7-8628-F887BBFFB506}" name="TUA  DLLS" dataDxfId="6" dataCellStyle="Moneda"/>
    <tableColumn id="8" xr3:uid="{B048B8F2-7B05-45A6-B19A-6F967758869B}" name=" PASAJEROS INTERNACIONAL" dataDxfId="5" dataCellStyle="Millares"/>
    <tableColumn id="9" xr3:uid="{2B3529CD-01EC-420D-933B-FCB4E3657CD9}" name="TUA DLLS3" dataDxfId="4">
      <calculatedColumnFormula>Tabla14[[#This Row],[TUA  DLLS]]*Tabla14[[#This Row],[ PASAJEROS INTERNACIONAL]]</calculatedColumnFormula>
    </tableColumn>
    <tableColumn id="10" xr3:uid="{FF6039FF-1342-41A5-A6D8-2A0F2A82E92C}" name="TIPO de CAMBIO2"/>
    <tableColumn id="11" xr3:uid="{7BBCDB17-D4ED-4D6D-81EF-3707585BCFE8}" name="TUA MN" dataDxfId="3" dataCellStyle="Moneda">
      <calculatedColumnFormula>Tabla14[[#This Row],[TUA DLLS3]]*Tabla14[[#This Row],[TIPO de CAMBIO2]]</calculatedColumnFormula>
    </tableColumn>
    <tableColumn id="19" xr3:uid="{6361E571-0F74-41D5-90CA-806A00359032}" name="TOTAL TUA DLLS" dataDxfId="2" dataCellStyle="Moneda">
      <calculatedColumnFormula>Tabla14[[#This Row],[TUA DLLS2]]+Tabla14[[#This Row],[TUA DLLS3]]</calculatedColumnFormula>
    </tableColumn>
    <tableColumn id="12" xr3:uid="{9A93F914-4166-43FD-A6DF-81C294B5B93C}" name="TOTAL TUA/MN" dataDxfId="1" dataCellStyle="Moneda">
      <calculatedColumnFormula>Tabla14[[#This Row],[TUA MN ]]+Tabla14[[#This Row],[TUA MN]]</calculatedColumnFormula>
    </tableColumn>
    <tableColumn id="13" xr3:uid="{5BBF58B3-302F-4BF0-A5EC-1A26DD729CC5}" name="TOTAL DE PASAJEROS" dataDxfId="0">
      <calculatedColumnFormula>Tabla14[[#This Row],[ PASAJEROS NACIONALES]]+Tabla14[[#This Row],[ PASAJEROS INTERNACIONAL]]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E2D7-3EE6-4839-A669-32CE981FE5A4}">
  <dimension ref="A1:R34"/>
  <sheetViews>
    <sheetView topLeftCell="H1" zoomScale="106" workbookViewId="0">
      <selection activeCell="M1" sqref="M1:M14"/>
    </sheetView>
  </sheetViews>
  <sheetFormatPr baseColWidth="10" defaultRowHeight="15" x14ac:dyDescent="0.25"/>
  <cols>
    <col min="1" max="1" width="11.5703125" style="1"/>
    <col min="2" max="2" width="9.85546875" customWidth="1"/>
    <col min="3" max="3" width="20.5703125" customWidth="1"/>
    <col min="4" max="4" width="19.28515625" customWidth="1"/>
    <col min="5" max="5" width="9.28515625" customWidth="1"/>
    <col min="6" max="6" width="21.7109375" customWidth="1"/>
    <col min="7" max="7" width="10.7109375" style="1" customWidth="1"/>
    <col min="8" max="8" width="11.5703125" customWidth="1"/>
    <col min="9" max="9" width="17.7109375" customWidth="1"/>
    <col min="10" max="10" width="20" customWidth="1"/>
    <col min="11" max="11" width="12.85546875" customWidth="1"/>
    <col min="12" max="12" width="23.28515625" customWidth="1"/>
    <col min="13" max="13" width="29.140625" customWidth="1"/>
    <col min="14" max="14" width="25" customWidth="1"/>
    <col min="15" max="15" width="19.7109375" customWidth="1"/>
    <col min="16" max="16" width="16.28515625" customWidth="1"/>
    <col min="17" max="18" width="12.140625" customWidth="1"/>
  </cols>
  <sheetData>
    <row r="1" spans="1:18" x14ac:dyDescent="0.25">
      <c r="A1" s="1" t="s">
        <v>3</v>
      </c>
      <c r="B1" t="s">
        <v>4</v>
      </c>
      <c r="C1" t="s">
        <v>18</v>
      </c>
      <c r="D1" t="s">
        <v>19</v>
      </c>
      <c r="E1" t="s">
        <v>5</v>
      </c>
      <c r="F1" t="s">
        <v>20</v>
      </c>
      <c r="G1" s="1" t="s">
        <v>10</v>
      </c>
      <c r="H1" t="s">
        <v>6</v>
      </c>
      <c r="I1" t="s">
        <v>8</v>
      </c>
      <c r="J1" t="s">
        <v>16</v>
      </c>
      <c r="K1" t="s">
        <v>7</v>
      </c>
      <c r="L1" t="s">
        <v>17</v>
      </c>
      <c r="M1" t="s">
        <v>12</v>
      </c>
      <c r="N1" t="s">
        <v>11</v>
      </c>
      <c r="O1" t="s">
        <v>9</v>
      </c>
      <c r="P1" t="s">
        <v>0</v>
      </c>
      <c r="Q1" t="s">
        <v>1</v>
      </c>
      <c r="R1" t="s">
        <v>2</v>
      </c>
    </row>
    <row r="2" spans="1:18" x14ac:dyDescent="0.25">
      <c r="B2" s="14">
        <v>0.05</v>
      </c>
      <c r="C2" s="15">
        <v>0.03</v>
      </c>
      <c r="D2" s="7" t="s">
        <v>14</v>
      </c>
      <c r="F2" s="12" t="s">
        <v>13</v>
      </c>
      <c r="H2" s="14">
        <v>0.18</v>
      </c>
      <c r="I2" s="16">
        <v>0.08</v>
      </c>
      <c r="J2" s="11" t="s">
        <v>15</v>
      </c>
      <c r="L2" s="12" t="s">
        <v>15</v>
      </c>
      <c r="M2" s="13"/>
      <c r="N2" s="12"/>
    </row>
    <row r="3" spans="1:18" x14ac:dyDescent="0.25">
      <c r="A3" s="1">
        <v>2017</v>
      </c>
      <c r="B3" s="7">
        <v>23.2</v>
      </c>
      <c r="C3" s="3">
        <v>28979063</v>
      </c>
      <c r="D3" s="2">
        <f>Tabla1[[#This Row],[TUA NACIONAL dlls]]*Tabla1[[#This Row],[No. DE PASAJEROS1 NAC]]</f>
        <v>672314261.60000002</v>
      </c>
      <c r="E3" s="2">
        <v>19.100000000000001</v>
      </c>
      <c r="F3" s="2">
        <f>Tabla1[[#This Row],[TUA/PASAJEROS1 dlls]]*Tabla1[[#This Row],[TIPO de CAMBIO]]</f>
        <v>12841202396.560001</v>
      </c>
      <c r="G3" s="1">
        <v>2017</v>
      </c>
      <c r="H3" s="7">
        <v>36.07</v>
      </c>
      <c r="I3" s="3">
        <v>15753355</v>
      </c>
      <c r="J3" s="7">
        <f>Tabla1[[#This Row],[TUA INTERNACIONAL dlls]]*Tabla1[[#This Row],[No. DE PASAJEROS INTERNACIONAL]]</f>
        <v>568223514.85000002</v>
      </c>
      <c r="K3" s="2">
        <v>19.100000000000001</v>
      </c>
      <c r="L3" s="7">
        <f>Tabla1[[#This Row],[TUA/PASAJEROSdlls]]*Tabla1[[#This Row],[TIPO de CAMBIO2]]</f>
        <v>10853069133.635002</v>
      </c>
      <c r="M3" s="7">
        <f>Tabla1[[#This Row],[TUA/PASAJEROS1 dlls]]+Tabla1[[#This Row],[TUA/PASAJEROSdlls]]</f>
        <v>1240537776.45</v>
      </c>
      <c r="N3" s="7">
        <f>Tabla1[[#This Row],[TUA/PASAJEROS1 NAC MN.]]+Tabla1[[#This Row],[TUA/PASAJEROS MN]]</f>
        <v>23694271530.195004</v>
      </c>
      <c r="O3" s="3">
        <f>Tabla1[[#This Row],[No. DE PASAJEROS1 NAC]]+Tabla1[[#This Row],[No. DE PASAJEROS INTERNACIONAL]]</f>
        <v>44732418</v>
      </c>
    </row>
    <row r="4" spans="1:18" x14ac:dyDescent="0.25">
      <c r="A4" s="1">
        <v>2018</v>
      </c>
      <c r="B4" s="7">
        <v>23.2</v>
      </c>
      <c r="C4" s="3">
        <v>29993330</v>
      </c>
      <c r="D4" s="2">
        <f>Tabla1[[#This Row],[TUA NACIONAL dlls]]*Tabla1[[#This Row],[No. DE PASAJEROS1 NAC]]</f>
        <v>695845256</v>
      </c>
      <c r="E4" s="2">
        <v>18.850000000000001</v>
      </c>
      <c r="F4" s="2">
        <f>Tabla1[[#This Row],[TUA/PASAJEROS1 dlls]]*Tabla1[[#This Row],[TIPO de CAMBIO]]</f>
        <v>13116683075.6</v>
      </c>
      <c r="G4" s="1">
        <v>2018</v>
      </c>
      <c r="H4" s="7">
        <v>44.07</v>
      </c>
      <c r="I4" s="3">
        <v>17643757</v>
      </c>
      <c r="J4" s="7">
        <f>Tabla1[[#This Row],[TUA INTERNACIONAL dlls]]*Tabla1[[#This Row],[No. DE PASAJEROS INTERNACIONAL]]</f>
        <v>777560370.99000001</v>
      </c>
      <c r="K4" s="2">
        <v>18.850000000000001</v>
      </c>
      <c r="L4" s="7">
        <f>Tabla1[[#This Row],[TUA/PASAJEROSdlls]]*Tabla1[[#This Row],[TIPO de CAMBIO2]]</f>
        <v>14657012993.161501</v>
      </c>
      <c r="M4" s="7">
        <f>Tabla1[[#This Row],[TUA/PASAJEROS1 dlls]]+Tabla1[[#This Row],[TUA/PASAJEROSdlls]]</f>
        <v>1473405626.99</v>
      </c>
      <c r="N4" s="7">
        <f>Tabla1[[#This Row],[TUA/PASAJEROS1 NAC MN.]]+Tabla1[[#This Row],[TUA/PASAJEROS MN]]</f>
        <v>27773696068.761501</v>
      </c>
      <c r="O4" s="3">
        <f>Tabla1[[#This Row],[No. DE PASAJEROS1 NAC]]+Tabla1[[#This Row],[No. DE PASAJEROS INTERNACIONAL]]</f>
        <v>47637087</v>
      </c>
    </row>
    <row r="5" spans="1:18" x14ac:dyDescent="0.25">
      <c r="B5" s="7"/>
      <c r="C5" s="3"/>
      <c r="D5" s="2">
        <f>Tabla1[[#This Row],[TUA NACIONAL dlls]]*Tabla1[[#This Row],[No. DE PASAJEROS1 NAC]]</f>
        <v>0</v>
      </c>
      <c r="E5" s="2"/>
      <c r="F5" s="10">
        <f>Tabla1[[#This Row],[TUA/PASAJEROS1 dlls]]*Tabla1[[#This Row],[TIPO de CAMBIO]]</f>
        <v>0</v>
      </c>
      <c r="H5" s="7"/>
      <c r="I5" s="3"/>
      <c r="J5" s="12"/>
      <c r="K5" s="2"/>
      <c r="L5" s="12"/>
      <c r="M5" s="13"/>
      <c r="N5" s="12"/>
      <c r="O5" s="17"/>
    </row>
    <row r="6" spans="1:18" x14ac:dyDescent="0.25">
      <c r="A6" s="1">
        <v>2019</v>
      </c>
      <c r="B6" s="7">
        <v>24.36</v>
      </c>
      <c r="C6" s="3">
        <v>30893129.899999999</v>
      </c>
      <c r="D6" s="2">
        <f>Tabla1[[#This Row],[TUA NACIONAL dlls]]*Tabla1[[#This Row],[No. DE PASAJEROS1 NAC]]</f>
        <v>752556644.36399996</v>
      </c>
      <c r="E6" s="2">
        <v>19.100000000000001</v>
      </c>
      <c r="F6" s="2">
        <f>Tabla1[[#This Row],[TUA/PASAJEROS1 dlls]]*Tabla1[[#This Row],[TIPO de CAMBIO]]</f>
        <v>14373831907.3524</v>
      </c>
      <c r="G6" s="1">
        <v>2019</v>
      </c>
      <c r="H6" s="7">
        <v>52</v>
      </c>
      <c r="I6" s="3">
        <v>19055257.559999999</v>
      </c>
      <c r="J6" s="7">
        <f>Tabla1[[#This Row],[TUA INTERNACIONAL dlls]]*Tabla1[[#This Row],[No. DE PASAJEROS INTERNACIONAL]]</f>
        <v>990873393.11999989</v>
      </c>
      <c r="K6" s="2">
        <v>19.100000000000001</v>
      </c>
      <c r="L6" s="7">
        <f>Tabla1[[#This Row],[TUA/PASAJEROSdlls]]*Tabla1[[#This Row],[TIPO de CAMBIO2]]</f>
        <v>18925681808.591999</v>
      </c>
      <c r="M6" s="7">
        <f>Tabla1[[#This Row],[TUA/PASAJEROS1 dlls]]+Tabla1[[#This Row],[TUA/PASAJEROSdlls]]</f>
        <v>1743430037.4839997</v>
      </c>
      <c r="N6" s="7">
        <f>Tabla1[[#This Row],[TUA/PASAJEROS1 NAC MN.]]+Tabla1[[#This Row],[TUA/PASAJEROS MN]]</f>
        <v>33299513715.944397</v>
      </c>
      <c r="O6" s="3">
        <f>Tabla1[[#This Row],[No. DE PASAJEROS1 NAC]]+Tabla1[[#This Row],[No. DE PASAJEROS INTERNACIONAL]]</f>
        <v>49948387.459999993</v>
      </c>
    </row>
    <row r="7" spans="1:18" x14ac:dyDescent="0.25">
      <c r="A7" s="1">
        <v>2020</v>
      </c>
      <c r="B7" s="7">
        <v>25.38</v>
      </c>
      <c r="C7" s="3">
        <v>31819923.800000001</v>
      </c>
      <c r="D7" s="2">
        <f>Tabla1[[#This Row],[TUA NACIONAL dlls]]*Tabla1[[#This Row],[No. DE PASAJEROS1 NAC]]</f>
        <v>807589666.04400003</v>
      </c>
      <c r="E7" s="2">
        <v>19.8</v>
      </c>
      <c r="F7" s="2">
        <f>Tabla1[[#This Row],[TUA/PASAJEROS1 dlls]]*Tabla1[[#This Row],[TIPO de CAMBIO]]</f>
        <v>15990275387.671202</v>
      </c>
      <c r="G7" s="1">
        <v>2020</v>
      </c>
      <c r="H7" s="7">
        <v>61.36</v>
      </c>
      <c r="I7" s="3">
        <v>20579678.16</v>
      </c>
      <c r="J7" s="7">
        <f>Tabla1[[#This Row],[TUA INTERNACIONAL dlls]]*Tabla1[[#This Row],[No. DE PASAJEROS INTERNACIONAL]]</f>
        <v>1262769051.8975999</v>
      </c>
      <c r="K7" s="2">
        <v>19.8</v>
      </c>
      <c r="L7" s="7">
        <f>Tabla1[[#This Row],[TUA/PASAJEROSdlls]]*Tabla1[[#This Row],[TIPO de CAMBIO2]]</f>
        <v>25002827227.572479</v>
      </c>
      <c r="M7" s="7">
        <f>Tabla1[[#This Row],[TUA/PASAJEROS1 dlls]]+Tabla1[[#This Row],[TUA/PASAJEROSdlls]]</f>
        <v>2070358717.9415998</v>
      </c>
      <c r="N7" s="7">
        <f>Tabla1[[#This Row],[TUA/PASAJEROS1 NAC MN.]]+Tabla1[[#This Row],[TUA/PASAJEROS MN]]</f>
        <v>40993102615.243683</v>
      </c>
      <c r="O7" s="3">
        <f>Tabla1[[#This Row],[No. DE PASAJEROS1 NAC]]+Tabla1[[#This Row],[No. DE PASAJEROS INTERNACIONAL]]</f>
        <v>52399601.960000001</v>
      </c>
    </row>
    <row r="8" spans="1:18" x14ac:dyDescent="0.25">
      <c r="A8" s="1">
        <v>2021</v>
      </c>
      <c r="B8" s="7">
        <v>26.86</v>
      </c>
      <c r="C8" s="3">
        <v>32774521.510000002</v>
      </c>
      <c r="D8" s="2">
        <f>Tabla1[[#This Row],[TUA NACIONAL dlls]]*Tabla1[[#This Row],[No. DE PASAJEROS1 NAC]]</f>
        <v>880323647.7586</v>
      </c>
      <c r="E8" s="2">
        <v>20.5</v>
      </c>
      <c r="F8" s="2">
        <f>Tabla1[[#This Row],[TUA/PASAJEROS1 dlls]]*Tabla1[[#This Row],[TIPO de CAMBIO]]</f>
        <v>18046634779.0513</v>
      </c>
      <c r="G8" s="1">
        <v>2021</v>
      </c>
      <c r="H8" s="7">
        <v>72.41</v>
      </c>
      <c r="I8" s="3">
        <v>22226052</v>
      </c>
      <c r="J8" s="7">
        <f>Tabla1[[#This Row],[TUA INTERNACIONAL dlls]]*Tabla1[[#This Row],[No. DE PASAJEROS INTERNACIONAL]]</f>
        <v>1609388425.3199999</v>
      </c>
      <c r="K8" s="2">
        <v>20.5</v>
      </c>
      <c r="L8" s="7">
        <f>Tabla1[[#This Row],[TUA/PASAJEROSdlls]]*Tabla1[[#This Row],[TIPO de CAMBIO2]]</f>
        <v>32992462719.059998</v>
      </c>
      <c r="M8" s="7">
        <f>Tabla1[[#This Row],[TUA/PASAJEROS1 dlls]]+Tabla1[[#This Row],[TUA/PASAJEROSdlls]]</f>
        <v>2489712073.0785999</v>
      </c>
      <c r="N8" s="7">
        <f>Tabla1[[#This Row],[TUA/PASAJEROS1 NAC MN.]]+Tabla1[[#This Row],[TUA/PASAJEROS MN]]</f>
        <v>51039097498.111298</v>
      </c>
      <c r="O8" s="3">
        <f>Tabla1[[#This Row],[No. DE PASAJEROS1 NAC]]+Tabla1[[#This Row],[No. DE PASAJEROS INTERNACIONAL]]</f>
        <v>55000573.510000005</v>
      </c>
    </row>
    <row r="9" spans="1:18" x14ac:dyDescent="0.25">
      <c r="A9" s="1">
        <v>2022</v>
      </c>
      <c r="B9" s="7">
        <v>28.2</v>
      </c>
      <c r="C9" s="3">
        <v>33757757.159999996</v>
      </c>
      <c r="D9" s="2">
        <f>Tabla1[[#This Row],[TUA NACIONAL dlls]]*Tabla1[[#This Row],[No. DE PASAJEROS1 NAC]]</f>
        <v>951968751.91199982</v>
      </c>
      <c r="E9" s="2">
        <v>21.5</v>
      </c>
      <c r="F9" s="2">
        <f>Tabla1[[#This Row],[TUA/PASAJEROS1 dlls]]*Tabla1[[#This Row],[TIPO de CAMBIO]]</f>
        <v>20467328166.107998</v>
      </c>
      <c r="G9" s="1">
        <v>2022</v>
      </c>
      <c r="H9" s="7">
        <v>85.44</v>
      </c>
      <c r="I9" s="3">
        <v>24004136.609999999</v>
      </c>
      <c r="J9" s="7">
        <f>Tabla1[[#This Row],[TUA INTERNACIONAL dlls]]*Tabla1[[#This Row],[No. DE PASAJEROS INTERNACIONAL]]</f>
        <v>2050913431.9584</v>
      </c>
      <c r="K9" s="2">
        <v>21.5</v>
      </c>
      <c r="L9" s="7">
        <f>Tabla1[[#This Row],[TUA/PASAJEROSdlls]]*Tabla1[[#This Row],[TIPO de CAMBIO2]]</f>
        <v>44094638787.105598</v>
      </c>
      <c r="M9" s="7">
        <f>Tabla1[[#This Row],[TUA/PASAJEROS1 dlls]]+Tabla1[[#This Row],[TUA/PASAJEROSdlls]]</f>
        <v>3002882183.8704</v>
      </c>
      <c r="N9" s="7">
        <f>Tabla1[[#This Row],[TUA/PASAJEROS1 NAC MN.]]+Tabla1[[#This Row],[TUA/PASAJEROS MN]]</f>
        <v>64561966953.213593</v>
      </c>
      <c r="O9" s="3">
        <f>Tabla1[[#This Row],[No. DE PASAJEROS1 NAC]]+Tabla1[[#This Row],[No. DE PASAJEROS INTERNACIONAL]]</f>
        <v>57761893.769999996</v>
      </c>
    </row>
    <row r="10" spans="1:18" x14ac:dyDescent="0.25">
      <c r="A10" s="1">
        <v>2023</v>
      </c>
      <c r="B10" s="7">
        <v>29.61</v>
      </c>
      <c r="C10" s="3">
        <v>34770489.869999997</v>
      </c>
      <c r="D10" s="2">
        <f>Tabla1[[#This Row],[TUA NACIONAL dlls]]*Tabla1[[#This Row],[No. DE PASAJEROS1 NAC]]</f>
        <v>1029554205.0506999</v>
      </c>
      <c r="E10" s="2">
        <v>21.8</v>
      </c>
      <c r="F10" s="2">
        <f>Tabla1[[#This Row],[TUA/PASAJEROS1 dlls]]*Tabla1[[#This Row],[TIPO de CAMBIO]]</f>
        <v>22444281670.105259</v>
      </c>
      <c r="G10" s="1">
        <v>2023</v>
      </c>
      <c r="H10" s="7">
        <v>100.82</v>
      </c>
      <c r="I10" s="3">
        <v>25924467.539999999</v>
      </c>
      <c r="J10" s="7">
        <f>Tabla1[[#This Row],[TUA INTERNACIONAL dlls]]*Tabla1[[#This Row],[No. DE PASAJEROS INTERNACIONAL]]</f>
        <v>2613704817.3827996</v>
      </c>
      <c r="K10" s="2">
        <v>21.8</v>
      </c>
      <c r="L10" s="7">
        <f>Tabla1[[#This Row],[TUA/PASAJEROSdlls]]*Tabla1[[#This Row],[TIPO de CAMBIO2]]</f>
        <v>56978765018.94503</v>
      </c>
      <c r="M10" s="7">
        <f>Tabla1[[#This Row],[TUA/PASAJEROS1 dlls]]+Tabla1[[#This Row],[TUA/PASAJEROSdlls]]</f>
        <v>3643259022.4334993</v>
      </c>
      <c r="N10" s="7">
        <f>Tabla1[[#This Row],[TUA/PASAJEROS1 NAC MN.]]+Tabla1[[#This Row],[TUA/PASAJEROS MN]]</f>
        <v>79423046689.050293</v>
      </c>
      <c r="O10" s="3">
        <f>Tabla1[[#This Row],[No. DE PASAJEROS1 NAC]]+Tabla1[[#This Row],[No. DE PASAJEROS INTERNACIONAL]]</f>
        <v>60694957.409999996</v>
      </c>
    </row>
    <row r="11" spans="1:18" x14ac:dyDescent="0.25">
      <c r="B11" s="7"/>
      <c r="D11" s="2">
        <f>Tabla1[[#This Row],[TUA NACIONAL dlls]]*Tabla1[[#This Row],[No. DE PASAJEROS1 NAC]]</f>
        <v>0</v>
      </c>
      <c r="E11" s="2"/>
      <c r="F11" s="2">
        <f>Tabla1[[#This Row],[TUA/PASAJEROS1 dlls]]*Tabla1[[#This Row],[TIPO de CAMBIO]]</f>
        <v>0</v>
      </c>
      <c r="H11" s="7"/>
      <c r="I11" s="3"/>
      <c r="J11" s="7">
        <f>Tabla1[[#This Row],[TUA INTERNACIONAL dlls]]*Tabla1[[#This Row],[No. DE PASAJEROS INTERNACIONAL]]</f>
        <v>0</v>
      </c>
      <c r="K11" s="2"/>
      <c r="L11" s="7">
        <f>Tabla1[[#This Row],[TUA/PASAJEROSdlls]]*Tabla1[[#This Row],[TIPO de CAMBIO2]]</f>
        <v>0</v>
      </c>
      <c r="M11" s="7">
        <f>Tabla1[[#This Row],[TUA/PASAJEROS1 dlls]]+Tabla1[[#This Row],[TUA/PASAJEROSdlls]]</f>
        <v>0</v>
      </c>
      <c r="N11" s="7">
        <f>Tabla1[[#This Row],[TUA/PASAJEROS1 NAC MN.]]+Tabla1[[#This Row],[TUA/PASAJEROS MN]]</f>
        <v>0</v>
      </c>
      <c r="O11">
        <f>Tabla1[[#This Row],[No. DE PASAJEROS1 NAC]]+Tabla1[[#This Row],[No. DE PASAJEROS INTERNACIONAL]]</f>
        <v>0</v>
      </c>
    </row>
    <row r="12" spans="1:18" x14ac:dyDescent="0.25">
      <c r="A12" s="1" t="s">
        <v>21</v>
      </c>
      <c r="B12" s="7"/>
      <c r="C12" s="6">
        <f>SUM(C6:C11)</f>
        <v>164015822.24000001</v>
      </c>
      <c r="D12" s="2">
        <f>Tabla1[[#This Row],[TUA NACIONAL dlls]]*Tabla1[[#This Row],[No. DE PASAJEROS1 NAC]]</f>
        <v>0</v>
      </c>
      <c r="E12" s="2"/>
      <c r="F12" s="2">
        <f>Tabla1[[#This Row],[TUA/PASAJEROS1 dlls]]*Tabla1[[#This Row],[TIPO de CAMBIO]]</f>
        <v>0</v>
      </c>
      <c r="H12" s="7"/>
      <c r="I12" s="5">
        <f>SUM(I6:I11)</f>
        <v>111789591.87</v>
      </c>
      <c r="J12" s="7">
        <f>Tabla1[[#This Row],[TUA INTERNACIONAL dlls]]*Tabla1[[#This Row],[No. DE PASAJEROS INTERNACIONAL]]</f>
        <v>0</v>
      </c>
      <c r="K12" s="2"/>
      <c r="L12" s="7">
        <f>Tabla1[[#This Row],[TUA/PASAJEROSdlls]]*Tabla1[[#This Row],[TIPO de CAMBIO2]]</f>
        <v>0</v>
      </c>
      <c r="M12" s="5">
        <f>SUM(M6:M11)</f>
        <v>12949642034.808098</v>
      </c>
      <c r="N12" s="7">
        <v>269316727471.56326</v>
      </c>
      <c r="O12" s="5">
        <f>SUM(O6:O11)</f>
        <v>275805414.11000001</v>
      </c>
    </row>
    <row r="13" spans="1:18" x14ac:dyDescent="0.25">
      <c r="B13" s="7"/>
      <c r="D13" s="2">
        <f>Tabla1[[#This Row],[TUA NACIONAL dlls]]*Tabla1[[#This Row],[No. DE PASAJEROS1 NAC]]</f>
        <v>0</v>
      </c>
      <c r="E13" s="2"/>
      <c r="F13" s="2">
        <f>Tabla1[[#This Row],[TUA/PASAJEROS1 dlls]]*Tabla1[[#This Row],[TIPO de CAMBIO]]</f>
        <v>0</v>
      </c>
      <c r="H13" s="7"/>
      <c r="I13" s="3"/>
      <c r="J13" s="7">
        <f>Tabla1[[#This Row],[TUA INTERNACIONAL dlls]]*Tabla1[[#This Row],[No. DE PASAJEROS INTERNACIONAL]]</f>
        <v>0</v>
      </c>
      <c r="K13" s="2"/>
      <c r="L13" s="7">
        <f>Tabla1[[#This Row],[TUA/PASAJEROSdlls]]*Tabla1[[#This Row],[TIPO de CAMBIO2]]</f>
        <v>0</v>
      </c>
      <c r="M13" s="7">
        <f>Tabla1[[#This Row],[TUA/PASAJEROS1 dlls]]+Tabla1[[#This Row],[TUA/PASAJEROSdlls]]</f>
        <v>0</v>
      </c>
      <c r="N13" s="7">
        <f>Tabla1[[#This Row],[TUA/PASAJEROS1 NAC MN.]]+Tabla1[[#This Row],[TUA/PASAJEROS MN]]</f>
        <v>0</v>
      </c>
      <c r="O13">
        <f>Tabla1[[#This Row],[No. DE PASAJEROS1 NAC]]+Tabla1[[#This Row],[No. DE PASAJEROS INTERNACIONAL]]</f>
        <v>0</v>
      </c>
    </row>
    <row r="17" spans="3:16" x14ac:dyDescent="0.25">
      <c r="C17" s="8">
        <v>44.07</v>
      </c>
      <c r="D17">
        <v>0.18</v>
      </c>
      <c r="E17" s="9">
        <f>C17*D17</f>
        <v>7.9325999999999999</v>
      </c>
      <c r="F17" s="9">
        <f>C17+E17</f>
        <v>52.002600000000001</v>
      </c>
      <c r="I17" s="6">
        <v>17643757</v>
      </c>
      <c r="J17">
        <v>0.08</v>
      </c>
      <c r="L17" s="5">
        <f>I17*J17</f>
        <v>1411500.56</v>
      </c>
      <c r="M17" s="5">
        <f>I17+L17</f>
        <v>19055257.559999999</v>
      </c>
      <c r="N17">
        <v>33299513715.944397</v>
      </c>
      <c r="O17" s="5">
        <v>1743430037.4839997</v>
      </c>
      <c r="P17" s="5">
        <v>49948387.459999993</v>
      </c>
    </row>
    <row r="18" spans="3:16" x14ac:dyDescent="0.25">
      <c r="C18" s="9">
        <f>C17+E17</f>
        <v>52.002600000000001</v>
      </c>
      <c r="D18">
        <v>0.18</v>
      </c>
      <c r="E18" s="9">
        <f t="shared" ref="E18:E25" si="0">C18*D18</f>
        <v>9.3604679999999991</v>
      </c>
      <c r="F18" s="9">
        <f>C18+E18</f>
        <v>61.363067999999998</v>
      </c>
      <c r="I18" s="5">
        <f>I17+L17</f>
        <v>19055257.559999999</v>
      </c>
      <c r="J18">
        <v>0.08</v>
      </c>
      <c r="L18" s="5">
        <f t="shared" ref="L18:L24" si="1">I18*J18</f>
        <v>1524420.6047999999</v>
      </c>
      <c r="M18" s="5">
        <f t="shared" ref="M18:M27" si="2">I18+L18</f>
        <v>20579678.164799999</v>
      </c>
      <c r="N18">
        <v>40993102615.243683</v>
      </c>
      <c r="O18" s="5">
        <v>2070358717.9415998</v>
      </c>
      <c r="P18" s="5">
        <v>52399601.960000001</v>
      </c>
    </row>
    <row r="19" spans="3:16" x14ac:dyDescent="0.25">
      <c r="C19" s="9">
        <f>C18+E18</f>
        <v>61.363067999999998</v>
      </c>
      <c r="D19">
        <v>0.18</v>
      </c>
      <c r="E19" s="9">
        <f t="shared" si="0"/>
        <v>11.04535224</v>
      </c>
      <c r="F19" s="9">
        <f t="shared" ref="F19:F25" si="3">C19+E19</f>
        <v>72.408420239999998</v>
      </c>
      <c r="I19" s="5">
        <f t="shared" ref="I19:I25" si="4">I18+L18</f>
        <v>20579678.164799999</v>
      </c>
      <c r="J19">
        <v>0.08</v>
      </c>
      <c r="L19" s="5">
        <f t="shared" si="1"/>
        <v>1646374.253184</v>
      </c>
      <c r="M19" s="5">
        <f t="shared" si="2"/>
        <v>22226052.417984001</v>
      </c>
      <c r="N19">
        <v>51039097498.111298</v>
      </c>
      <c r="O19" s="5">
        <v>2489712073.0785999</v>
      </c>
      <c r="P19" s="5">
        <v>55000573.510000005</v>
      </c>
    </row>
    <row r="20" spans="3:16" x14ac:dyDescent="0.25">
      <c r="C20" s="9">
        <f t="shared" ref="C20:C25" si="5">C19+E19</f>
        <v>72.408420239999998</v>
      </c>
      <c r="D20">
        <v>0.18</v>
      </c>
      <c r="E20" s="9">
        <f t="shared" si="0"/>
        <v>13.033515643199999</v>
      </c>
      <c r="F20" s="9">
        <f t="shared" si="3"/>
        <v>85.441935883200003</v>
      </c>
      <c r="I20" s="5">
        <f t="shared" si="4"/>
        <v>22226052.417984001</v>
      </c>
      <c r="J20">
        <v>0.08</v>
      </c>
      <c r="L20" s="5">
        <f t="shared" si="1"/>
        <v>1778084.1934387202</v>
      </c>
      <c r="M20" s="5">
        <f t="shared" si="2"/>
        <v>24004136.611422721</v>
      </c>
      <c r="N20">
        <v>64561966953.213593</v>
      </c>
      <c r="O20" s="5">
        <v>3002882183.8704</v>
      </c>
      <c r="P20" s="5">
        <v>57761893.769999996</v>
      </c>
    </row>
    <row r="21" spans="3:16" x14ac:dyDescent="0.25">
      <c r="C21" s="9">
        <f t="shared" si="5"/>
        <v>85.441935883200003</v>
      </c>
      <c r="D21">
        <v>0.18</v>
      </c>
      <c r="E21" s="9">
        <f t="shared" si="0"/>
        <v>15.379548458976</v>
      </c>
      <c r="F21" s="9">
        <f t="shared" si="3"/>
        <v>100.82148434217601</v>
      </c>
      <c r="I21" s="5">
        <f t="shared" si="4"/>
        <v>24004136.611422721</v>
      </c>
      <c r="J21">
        <v>0.08</v>
      </c>
      <c r="L21" s="5">
        <f t="shared" si="1"/>
        <v>1920330.9289138177</v>
      </c>
      <c r="M21" s="5">
        <f t="shared" si="2"/>
        <v>25924467.540336538</v>
      </c>
      <c r="N21">
        <v>79423046689.050293</v>
      </c>
      <c r="O21" s="5">
        <v>3643259022.4334993</v>
      </c>
      <c r="P21" s="5">
        <v>60694957.409999996</v>
      </c>
    </row>
    <row r="22" spans="3:16" x14ac:dyDescent="0.25">
      <c r="C22" s="9">
        <f t="shared" si="5"/>
        <v>100.82148434217601</v>
      </c>
      <c r="D22">
        <v>0.18</v>
      </c>
      <c r="E22" s="9">
        <f t="shared" si="0"/>
        <v>18.147867181591682</v>
      </c>
      <c r="F22" s="9">
        <f t="shared" si="3"/>
        <v>118.96935152376768</v>
      </c>
      <c r="I22" s="5">
        <f t="shared" si="4"/>
        <v>25924467.540336538</v>
      </c>
      <c r="J22">
        <v>0.08</v>
      </c>
      <c r="L22" s="5">
        <f t="shared" si="1"/>
        <v>2073957.4032269232</v>
      </c>
      <c r="M22" s="5">
        <f t="shared" si="2"/>
        <v>27998424.943563461</v>
      </c>
      <c r="O22" s="5"/>
      <c r="P22" s="5"/>
    </row>
    <row r="23" spans="3:16" x14ac:dyDescent="0.25">
      <c r="C23" s="9">
        <f t="shared" si="5"/>
        <v>118.96935152376768</v>
      </c>
      <c r="D23">
        <v>0.18</v>
      </c>
      <c r="E23" s="9">
        <f t="shared" si="0"/>
        <v>21.414483274278183</v>
      </c>
      <c r="F23" s="9">
        <f t="shared" si="3"/>
        <v>140.38383479804588</v>
      </c>
      <c r="I23" s="5">
        <f t="shared" si="4"/>
        <v>27998424.943563461</v>
      </c>
      <c r="J23">
        <v>0.08</v>
      </c>
      <c r="L23" s="5">
        <f t="shared" si="1"/>
        <v>2239873.9954850771</v>
      </c>
      <c r="M23" s="5">
        <f t="shared" si="2"/>
        <v>30238298.93904854</v>
      </c>
      <c r="N23" s="5">
        <f>SUM(N17:N22)</f>
        <v>269316727471.56326</v>
      </c>
      <c r="O23" s="5">
        <f>SUM(O17:O22)</f>
        <v>12949642034.808098</v>
      </c>
      <c r="P23" s="5">
        <f>SUM(P17:P22)</f>
        <v>275805414.11000001</v>
      </c>
    </row>
    <row r="24" spans="3:16" x14ac:dyDescent="0.25">
      <c r="C24" s="9">
        <f t="shared" si="5"/>
        <v>140.38383479804588</v>
      </c>
      <c r="D24">
        <v>0.18</v>
      </c>
      <c r="E24" s="9">
        <f t="shared" si="0"/>
        <v>25.269090263648259</v>
      </c>
      <c r="F24" s="9">
        <f t="shared" si="3"/>
        <v>165.65292506169413</v>
      </c>
      <c r="I24" s="5">
        <f t="shared" si="4"/>
        <v>30238298.93904854</v>
      </c>
      <c r="J24">
        <v>0.08</v>
      </c>
      <c r="L24" s="5">
        <f t="shared" si="1"/>
        <v>2419063.9151238832</v>
      </c>
      <c r="M24" s="5">
        <f t="shared" si="2"/>
        <v>32657362.854172423</v>
      </c>
    </row>
    <row r="25" spans="3:16" x14ac:dyDescent="0.25">
      <c r="C25" s="9">
        <f t="shared" si="5"/>
        <v>165.65292506169413</v>
      </c>
      <c r="D25">
        <v>0.18</v>
      </c>
      <c r="E25" s="9">
        <f t="shared" si="0"/>
        <v>29.817526511104944</v>
      </c>
      <c r="F25" s="9">
        <f t="shared" si="3"/>
        <v>195.47045157279908</v>
      </c>
      <c r="I25" s="5">
        <f t="shared" si="4"/>
        <v>32657362.854172423</v>
      </c>
      <c r="J25">
        <v>0.08</v>
      </c>
      <c r="L25" s="5">
        <f t="shared" ref="L25" si="6">I25*J25</f>
        <v>2612589.0283337939</v>
      </c>
      <c r="M25" s="5">
        <f t="shared" si="2"/>
        <v>35269951.882506214</v>
      </c>
    </row>
    <row r="27" spans="3:16" x14ac:dyDescent="0.25">
      <c r="M27" s="5">
        <f t="shared" si="2"/>
        <v>0</v>
      </c>
    </row>
    <row r="28" spans="3:16" x14ac:dyDescent="0.25">
      <c r="C28" s="6">
        <v>30893129.899999999</v>
      </c>
      <c r="D28" s="4">
        <v>19055257.559999999</v>
      </c>
    </row>
    <row r="29" spans="3:16" x14ac:dyDescent="0.25">
      <c r="C29" s="6">
        <v>31819923.800000001</v>
      </c>
      <c r="D29" s="6">
        <v>20579678.16</v>
      </c>
    </row>
    <row r="30" spans="3:16" x14ac:dyDescent="0.25">
      <c r="C30" s="6">
        <v>32774521.510000002</v>
      </c>
      <c r="D30" s="4">
        <v>22226052</v>
      </c>
    </row>
    <row r="31" spans="3:16" x14ac:dyDescent="0.25">
      <c r="C31" s="6">
        <v>33757757.159999996</v>
      </c>
      <c r="D31" s="6">
        <v>24004136.609999999</v>
      </c>
    </row>
    <row r="32" spans="3:16" x14ac:dyDescent="0.25">
      <c r="C32" s="6">
        <v>34770489.869999997</v>
      </c>
      <c r="D32" s="4">
        <v>25924467.539999999</v>
      </c>
      <c r="J32" s="5">
        <f t="shared" ref="J32" si="7">F32+I32</f>
        <v>0</v>
      </c>
    </row>
    <row r="33" spans="3:6" x14ac:dyDescent="0.25">
      <c r="C33" s="6"/>
    </row>
    <row r="34" spans="3:6" x14ac:dyDescent="0.25">
      <c r="C34" s="6">
        <f>SUM(C28:C33)</f>
        <v>164015822.24000001</v>
      </c>
      <c r="D34" s="5">
        <f>SUM(D28:D33)</f>
        <v>111789591.87</v>
      </c>
      <c r="F34" s="5">
        <f>C34+D34</f>
        <v>275805414.11000001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640C-55EC-4E32-AFA5-C51B06846452}">
  <dimension ref="A2:O15"/>
  <sheetViews>
    <sheetView topLeftCell="E1" workbookViewId="0">
      <selection activeCell="G1" sqref="G1:G1048576"/>
    </sheetView>
  </sheetViews>
  <sheetFormatPr baseColWidth="10" defaultRowHeight="15" x14ac:dyDescent="0.25"/>
  <cols>
    <col min="2" max="2" width="10.140625" customWidth="1"/>
    <col min="3" max="3" width="17.28515625" customWidth="1"/>
    <col min="4" max="4" width="18.7109375" customWidth="1"/>
    <col min="6" max="6" width="18.7109375" customWidth="1"/>
    <col min="8" max="8" width="13.140625" customWidth="1"/>
    <col min="9" max="9" width="16.28515625" customWidth="1"/>
    <col min="10" max="10" width="17.7109375" customWidth="1"/>
    <col min="12" max="12" width="19.7109375" customWidth="1"/>
    <col min="13" max="13" width="19.140625" customWidth="1"/>
    <col min="14" max="14" width="21.7109375" customWidth="1"/>
    <col min="15" max="15" width="16" customWidth="1"/>
  </cols>
  <sheetData>
    <row r="2" spans="1:15" x14ac:dyDescent="0.25">
      <c r="A2" s="20"/>
      <c r="B2" s="44" t="s">
        <v>26</v>
      </c>
      <c r="C2" s="44"/>
      <c r="D2" s="44"/>
      <c r="E2" s="44"/>
      <c r="F2" s="44"/>
      <c r="G2" s="46" t="s">
        <v>27</v>
      </c>
      <c r="H2" s="46"/>
      <c r="I2" s="46"/>
      <c r="J2" s="46"/>
      <c r="K2" s="46"/>
      <c r="L2" s="46"/>
      <c r="M2" s="45" t="s">
        <v>28</v>
      </c>
      <c r="N2" s="45"/>
      <c r="O2" s="45"/>
    </row>
    <row r="3" spans="1:15" s="18" customFormat="1" ht="30" x14ac:dyDescent="0.25">
      <c r="A3" s="18" t="s">
        <v>3</v>
      </c>
      <c r="B3" s="18" t="s">
        <v>30</v>
      </c>
      <c r="C3" s="18" t="s">
        <v>22</v>
      </c>
      <c r="D3" s="18" t="s">
        <v>31</v>
      </c>
      <c r="E3" s="18" t="s">
        <v>5</v>
      </c>
      <c r="F3" s="18" t="s">
        <v>23</v>
      </c>
      <c r="G3" s="18" t="s">
        <v>10</v>
      </c>
      <c r="H3" s="18" t="s">
        <v>32</v>
      </c>
      <c r="I3" s="18" t="s">
        <v>25</v>
      </c>
      <c r="J3" s="18" t="s">
        <v>33</v>
      </c>
      <c r="K3" s="18" t="s">
        <v>7</v>
      </c>
      <c r="L3" s="18" t="s">
        <v>24</v>
      </c>
      <c r="M3" s="18" t="s">
        <v>34</v>
      </c>
      <c r="N3" s="18" t="s">
        <v>29</v>
      </c>
      <c r="O3" s="18" t="s">
        <v>9</v>
      </c>
    </row>
    <row r="4" spans="1:15" x14ac:dyDescent="0.25">
      <c r="A4" s="1"/>
      <c r="B4" s="14">
        <v>0.05</v>
      </c>
      <c r="C4" s="15">
        <v>0.03</v>
      </c>
      <c r="D4" s="7"/>
      <c r="F4" s="12"/>
      <c r="G4" s="1"/>
      <c r="H4" s="14">
        <v>0.18</v>
      </c>
      <c r="I4" s="16">
        <v>0.08</v>
      </c>
      <c r="J4" s="11"/>
      <c r="L4" s="12"/>
      <c r="M4" s="13"/>
      <c r="N4" s="12"/>
    </row>
    <row r="5" spans="1:15" x14ac:dyDescent="0.25">
      <c r="A5" s="1">
        <v>2017</v>
      </c>
      <c r="B5" s="7">
        <v>23.2</v>
      </c>
      <c r="C5" s="3">
        <v>28979063</v>
      </c>
      <c r="D5" s="2">
        <f>Tabla14[[#This Row],[TUA DLLS]]*Tabla14[[#This Row],[ PASAJEROS NACIONALES]]</f>
        <v>672314261.60000002</v>
      </c>
      <c r="E5" s="2">
        <v>19.100000000000001</v>
      </c>
      <c r="F5" s="2">
        <f>Tabla14[[#This Row],[TUA DLLS2]]*Tabla14[[#This Row],[TIPO de CAMBIO]]</f>
        <v>12841202396.560001</v>
      </c>
      <c r="G5" s="1">
        <v>2017</v>
      </c>
      <c r="H5" s="7">
        <v>36.07</v>
      </c>
      <c r="I5" s="3">
        <v>15753355</v>
      </c>
      <c r="J5" s="7">
        <f>Tabla14[[#This Row],[TUA  DLLS]]*Tabla14[[#This Row],[ PASAJEROS INTERNACIONAL]]</f>
        <v>568223514.85000002</v>
      </c>
      <c r="K5" s="2">
        <v>19.100000000000001</v>
      </c>
      <c r="L5" s="7">
        <f>Tabla14[[#This Row],[TUA DLLS3]]*Tabla14[[#This Row],[TIPO de CAMBIO2]]</f>
        <v>10853069133.635002</v>
      </c>
      <c r="M5" s="7">
        <f>Tabla14[[#This Row],[TUA DLLS2]]+Tabla14[[#This Row],[TUA DLLS3]]</f>
        <v>1240537776.45</v>
      </c>
      <c r="N5" s="7">
        <f>Tabla14[[#This Row],[TUA MN ]]+Tabla14[[#This Row],[TUA MN]]</f>
        <v>23694271530.195004</v>
      </c>
      <c r="O5" s="3">
        <f>Tabla14[[#This Row],[ PASAJEROS NACIONALES]]+Tabla14[[#This Row],[ PASAJEROS INTERNACIONAL]]</f>
        <v>44732418</v>
      </c>
    </row>
    <row r="6" spans="1:15" x14ac:dyDescent="0.25">
      <c r="A6" s="1">
        <v>2018</v>
      </c>
      <c r="B6" s="7">
        <v>23.2</v>
      </c>
      <c r="C6" s="3">
        <v>29993330</v>
      </c>
      <c r="D6" s="2">
        <f>Tabla14[[#This Row],[TUA DLLS]]*Tabla14[[#This Row],[ PASAJEROS NACIONALES]]</f>
        <v>695845256</v>
      </c>
      <c r="E6" s="2">
        <v>18.850000000000001</v>
      </c>
      <c r="F6" s="2">
        <f>Tabla14[[#This Row],[TUA DLLS2]]*Tabla14[[#This Row],[TIPO de CAMBIO]]</f>
        <v>13116683075.6</v>
      </c>
      <c r="G6" s="1">
        <v>2018</v>
      </c>
      <c r="H6" s="7">
        <v>44.07</v>
      </c>
      <c r="I6" s="3">
        <v>17643757</v>
      </c>
      <c r="J6" s="7">
        <f>Tabla14[[#This Row],[TUA  DLLS]]*Tabla14[[#This Row],[ PASAJEROS INTERNACIONAL]]</f>
        <v>777560370.99000001</v>
      </c>
      <c r="K6" s="2">
        <v>18.850000000000001</v>
      </c>
      <c r="L6" s="7">
        <f>Tabla14[[#This Row],[TUA DLLS3]]*Tabla14[[#This Row],[TIPO de CAMBIO2]]</f>
        <v>14657012993.161501</v>
      </c>
      <c r="M6" s="7">
        <f>Tabla14[[#This Row],[TUA DLLS2]]+Tabla14[[#This Row],[TUA DLLS3]]</f>
        <v>1473405626.99</v>
      </c>
      <c r="N6" s="7">
        <f>Tabla14[[#This Row],[TUA MN ]]+Tabla14[[#This Row],[TUA MN]]</f>
        <v>27773696068.761501</v>
      </c>
      <c r="O6" s="3">
        <f>Tabla14[[#This Row],[ PASAJEROS NACIONALES]]+Tabla14[[#This Row],[ PASAJEROS INTERNACIONAL]]</f>
        <v>47637087</v>
      </c>
    </row>
    <row r="7" spans="1:15" x14ac:dyDescent="0.25">
      <c r="A7" s="1"/>
      <c r="B7" s="7"/>
      <c r="C7" s="3"/>
      <c r="D7" s="2">
        <f>Tabla14[[#This Row],[TUA DLLS]]*Tabla14[[#This Row],[ PASAJEROS NACIONALES]]</f>
        <v>0</v>
      </c>
      <c r="E7" s="2"/>
      <c r="F7" s="10"/>
      <c r="G7" s="1"/>
      <c r="H7" s="7"/>
      <c r="I7" s="3"/>
      <c r="J7" s="12"/>
      <c r="K7" s="2"/>
      <c r="L7" s="12"/>
      <c r="M7" s="13"/>
      <c r="N7" s="12"/>
      <c r="O7" s="17"/>
    </row>
    <row r="8" spans="1:15" x14ac:dyDescent="0.25">
      <c r="A8" s="1">
        <v>2019</v>
      </c>
      <c r="B8" s="7">
        <v>24.36</v>
      </c>
      <c r="C8" s="3">
        <v>30893129.899999999</v>
      </c>
      <c r="D8" s="2">
        <f>Tabla14[[#This Row],[TUA DLLS]]*Tabla14[[#This Row],[ PASAJEROS NACIONALES]]</f>
        <v>752556644.36399996</v>
      </c>
      <c r="E8" s="2">
        <v>19.100000000000001</v>
      </c>
      <c r="F8" s="2">
        <f>Tabla14[[#This Row],[TUA DLLS2]]*Tabla14[[#This Row],[TIPO de CAMBIO]]</f>
        <v>14373831907.3524</v>
      </c>
      <c r="G8" s="1">
        <v>2019</v>
      </c>
      <c r="H8" s="7">
        <v>52</v>
      </c>
      <c r="I8" s="3">
        <v>19055257.559999999</v>
      </c>
      <c r="J8" s="7">
        <f>Tabla14[[#This Row],[TUA  DLLS]]*Tabla14[[#This Row],[ PASAJEROS INTERNACIONAL]]</f>
        <v>990873393.11999989</v>
      </c>
      <c r="K8" s="2">
        <v>19.100000000000001</v>
      </c>
      <c r="L8" s="7">
        <f>Tabla14[[#This Row],[TUA DLLS3]]*Tabla14[[#This Row],[TIPO de CAMBIO2]]</f>
        <v>18925681808.591999</v>
      </c>
      <c r="M8" s="7">
        <f>Tabla14[[#This Row],[TUA DLLS2]]+Tabla14[[#This Row],[TUA DLLS3]]</f>
        <v>1743430037.4839997</v>
      </c>
      <c r="N8" s="7">
        <f>Tabla14[[#This Row],[TUA MN ]]+Tabla14[[#This Row],[TUA MN]]</f>
        <v>33299513715.944397</v>
      </c>
      <c r="O8" s="3">
        <f>Tabla14[[#This Row],[ PASAJEROS NACIONALES]]+Tabla14[[#This Row],[ PASAJEROS INTERNACIONAL]]</f>
        <v>49948387.459999993</v>
      </c>
    </row>
    <row r="9" spans="1:15" x14ac:dyDescent="0.25">
      <c r="A9" s="1">
        <v>2020</v>
      </c>
      <c r="B9" s="7">
        <v>25.38</v>
      </c>
      <c r="C9" s="3">
        <v>31819923.800000001</v>
      </c>
      <c r="D9" s="2">
        <f>Tabla14[[#This Row],[TUA DLLS]]*Tabla14[[#This Row],[ PASAJEROS NACIONALES]]</f>
        <v>807589666.04400003</v>
      </c>
      <c r="E9" s="2">
        <v>19.8</v>
      </c>
      <c r="F9" s="2">
        <f>Tabla14[[#This Row],[TUA DLLS2]]*Tabla14[[#This Row],[TIPO de CAMBIO]]</f>
        <v>15990275387.671202</v>
      </c>
      <c r="G9" s="1">
        <v>2020</v>
      </c>
      <c r="H9" s="7">
        <v>61.36</v>
      </c>
      <c r="I9" s="3">
        <v>20579678.16</v>
      </c>
      <c r="J9" s="7">
        <f>Tabla14[[#This Row],[TUA  DLLS]]*Tabla14[[#This Row],[ PASAJEROS INTERNACIONAL]]</f>
        <v>1262769051.8975999</v>
      </c>
      <c r="K9" s="2">
        <v>19.8</v>
      </c>
      <c r="L9" s="7">
        <f>Tabla14[[#This Row],[TUA DLLS3]]*Tabla14[[#This Row],[TIPO de CAMBIO2]]</f>
        <v>25002827227.572479</v>
      </c>
      <c r="M9" s="7">
        <f>Tabla14[[#This Row],[TUA DLLS2]]+Tabla14[[#This Row],[TUA DLLS3]]</f>
        <v>2070358717.9415998</v>
      </c>
      <c r="N9" s="7">
        <f>Tabla14[[#This Row],[TUA MN ]]+Tabla14[[#This Row],[TUA MN]]</f>
        <v>40993102615.243683</v>
      </c>
      <c r="O9" s="3">
        <f>Tabla14[[#This Row],[ PASAJEROS NACIONALES]]+Tabla14[[#This Row],[ PASAJEROS INTERNACIONAL]]</f>
        <v>52399601.960000001</v>
      </c>
    </row>
    <row r="10" spans="1:15" x14ac:dyDescent="0.25">
      <c r="A10" s="1">
        <v>2021</v>
      </c>
      <c r="B10" s="7">
        <v>26.86</v>
      </c>
      <c r="C10" s="3">
        <v>32774521.510000002</v>
      </c>
      <c r="D10" s="2">
        <f>Tabla14[[#This Row],[TUA DLLS]]*Tabla14[[#This Row],[ PASAJEROS NACIONALES]]</f>
        <v>880323647.7586</v>
      </c>
      <c r="E10" s="2">
        <v>20.5</v>
      </c>
      <c r="F10" s="2">
        <f>Tabla14[[#This Row],[TUA DLLS2]]*Tabla14[[#This Row],[TIPO de CAMBIO]]</f>
        <v>18046634779.0513</v>
      </c>
      <c r="G10" s="1">
        <v>2021</v>
      </c>
      <c r="H10" s="7">
        <v>72.41</v>
      </c>
      <c r="I10" s="3">
        <v>22226052</v>
      </c>
      <c r="J10" s="7">
        <f>Tabla14[[#This Row],[TUA  DLLS]]*Tabla14[[#This Row],[ PASAJEROS INTERNACIONAL]]</f>
        <v>1609388425.3199999</v>
      </c>
      <c r="K10" s="2">
        <v>20.5</v>
      </c>
      <c r="L10" s="7">
        <f>Tabla14[[#This Row],[TUA DLLS3]]*Tabla14[[#This Row],[TIPO de CAMBIO2]]</f>
        <v>32992462719.059998</v>
      </c>
      <c r="M10" s="7">
        <f>Tabla14[[#This Row],[TUA DLLS2]]+Tabla14[[#This Row],[TUA DLLS3]]</f>
        <v>2489712073.0785999</v>
      </c>
      <c r="N10" s="7">
        <f>Tabla14[[#This Row],[TUA MN ]]+Tabla14[[#This Row],[TUA MN]]</f>
        <v>51039097498.111298</v>
      </c>
      <c r="O10" s="3">
        <f>Tabla14[[#This Row],[ PASAJEROS NACIONALES]]+Tabla14[[#This Row],[ PASAJEROS INTERNACIONAL]]</f>
        <v>55000573.510000005</v>
      </c>
    </row>
    <row r="11" spans="1:15" x14ac:dyDescent="0.25">
      <c r="A11" s="1">
        <v>2022</v>
      </c>
      <c r="B11" s="7">
        <v>28.2</v>
      </c>
      <c r="C11" s="3">
        <v>33757757.159999996</v>
      </c>
      <c r="D11" s="2">
        <f>Tabla14[[#This Row],[TUA DLLS]]*Tabla14[[#This Row],[ PASAJEROS NACIONALES]]</f>
        <v>951968751.91199982</v>
      </c>
      <c r="E11" s="2">
        <v>21.5</v>
      </c>
      <c r="F11" s="2">
        <f>Tabla14[[#This Row],[TUA DLLS2]]*Tabla14[[#This Row],[TIPO de CAMBIO]]</f>
        <v>20467328166.107998</v>
      </c>
      <c r="G11" s="1">
        <v>2022</v>
      </c>
      <c r="H11" s="7">
        <v>85.44</v>
      </c>
      <c r="I11" s="3">
        <v>24004136.609999999</v>
      </c>
      <c r="J11" s="7">
        <f>Tabla14[[#This Row],[TUA  DLLS]]*Tabla14[[#This Row],[ PASAJEROS INTERNACIONAL]]</f>
        <v>2050913431.9584</v>
      </c>
      <c r="K11" s="2">
        <v>21.5</v>
      </c>
      <c r="L11" s="7">
        <f>Tabla14[[#This Row],[TUA DLLS3]]*Tabla14[[#This Row],[TIPO de CAMBIO2]]</f>
        <v>44094638787.105598</v>
      </c>
      <c r="M11" s="7">
        <f>Tabla14[[#This Row],[TUA DLLS2]]+Tabla14[[#This Row],[TUA DLLS3]]</f>
        <v>3002882183.8704</v>
      </c>
      <c r="N11" s="7">
        <f>Tabla14[[#This Row],[TUA MN ]]+Tabla14[[#This Row],[TUA MN]]</f>
        <v>64561966953.213593</v>
      </c>
      <c r="O11" s="3">
        <f>Tabla14[[#This Row],[ PASAJEROS NACIONALES]]+Tabla14[[#This Row],[ PASAJEROS INTERNACIONAL]]</f>
        <v>57761893.769999996</v>
      </c>
    </row>
    <row r="12" spans="1:15" x14ac:dyDescent="0.25">
      <c r="A12" s="1">
        <v>2023</v>
      </c>
      <c r="B12" s="7">
        <v>29.61</v>
      </c>
      <c r="C12" s="3">
        <v>34770489.869999997</v>
      </c>
      <c r="D12" s="2">
        <f>Tabla14[[#This Row],[TUA DLLS]]*Tabla14[[#This Row],[ PASAJEROS NACIONALES]]</f>
        <v>1029554205.0506999</v>
      </c>
      <c r="E12" s="2">
        <v>21.8</v>
      </c>
      <c r="F12" s="2">
        <f>Tabla14[[#This Row],[TUA DLLS2]]*Tabla14[[#This Row],[TIPO de CAMBIO]]</f>
        <v>22444281670.105259</v>
      </c>
      <c r="G12" s="1">
        <v>2023</v>
      </c>
      <c r="H12" s="7">
        <v>100.82</v>
      </c>
      <c r="I12" s="3">
        <v>25924467.539999999</v>
      </c>
      <c r="J12" s="7">
        <f>Tabla14[[#This Row],[TUA  DLLS]]*Tabla14[[#This Row],[ PASAJEROS INTERNACIONAL]]</f>
        <v>2613704817.3827996</v>
      </c>
      <c r="K12" s="2">
        <v>21.8</v>
      </c>
      <c r="L12" s="7">
        <f>Tabla14[[#This Row],[TUA DLLS3]]*Tabla14[[#This Row],[TIPO de CAMBIO2]]</f>
        <v>56978765018.94503</v>
      </c>
      <c r="M12" s="7">
        <f>Tabla14[[#This Row],[TUA DLLS2]]+Tabla14[[#This Row],[TUA DLLS3]]</f>
        <v>3643259022.4334993</v>
      </c>
      <c r="N12" s="7">
        <f>Tabla14[[#This Row],[TUA MN ]]+Tabla14[[#This Row],[TUA MN]]</f>
        <v>79423046689.050293</v>
      </c>
      <c r="O12" s="3">
        <f>Tabla14[[#This Row],[ PASAJEROS NACIONALES]]+Tabla14[[#This Row],[ PASAJEROS INTERNACIONAL]]</f>
        <v>60694957.409999996</v>
      </c>
    </row>
    <row r="13" spans="1:15" x14ac:dyDescent="0.25">
      <c r="A13" s="1"/>
      <c r="B13" s="7"/>
      <c r="D13" s="2"/>
      <c r="E13" s="2"/>
      <c r="F13" s="2"/>
      <c r="G13" s="1"/>
      <c r="H13" s="7"/>
      <c r="I13" s="3"/>
      <c r="J13" s="7"/>
      <c r="K13" s="2"/>
      <c r="L13" s="7"/>
      <c r="M13" s="7"/>
      <c r="N13" s="7"/>
    </row>
    <row r="14" spans="1:15" s="26" customFormat="1" x14ac:dyDescent="0.25">
      <c r="A14" s="21" t="s">
        <v>21</v>
      </c>
      <c r="B14" s="22"/>
      <c r="C14" s="23">
        <f>SUM(C8:C13)</f>
        <v>164015822.24000001</v>
      </c>
      <c r="D14" s="24">
        <v>4421992915.1293001</v>
      </c>
      <c r="E14" s="24"/>
      <c r="F14" s="24">
        <v>91322351910.288162</v>
      </c>
      <c r="G14" s="21"/>
      <c r="H14" s="22"/>
      <c r="I14" s="25">
        <f>SUM(I8:I13)</f>
        <v>111789591.87</v>
      </c>
      <c r="J14" s="22">
        <v>8527649119.6787987</v>
      </c>
      <c r="K14" s="24"/>
      <c r="L14" s="22">
        <v>177994375561.27512</v>
      </c>
      <c r="M14" s="25">
        <f>SUM(M8:M13)</f>
        <v>12949642034.808098</v>
      </c>
      <c r="N14" s="22">
        <v>269316727471.56326</v>
      </c>
      <c r="O14" s="25">
        <f>SUM(O8:O13)</f>
        <v>275805414.11000001</v>
      </c>
    </row>
    <row r="15" spans="1:15" x14ac:dyDescent="0.25">
      <c r="A15" s="1"/>
      <c r="B15" s="7"/>
      <c r="D15" s="2"/>
      <c r="E15" s="2"/>
      <c r="F15" s="2"/>
      <c r="G15" s="1"/>
      <c r="H15" s="7"/>
      <c r="I15" s="3"/>
      <c r="J15" s="7"/>
      <c r="K15" s="2"/>
      <c r="L15" s="7"/>
      <c r="M15" s="7"/>
      <c r="N15" s="7"/>
    </row>
  </sheetData>
  <mergeCells count="3">
    <mergeCell ref="B2:F2"/>
    <mergeCell ref="M2:O2"/>
    <mergeCell ref="G2:L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B5B2-38CC-487C-9929-CF80511843D7}">
  <dimension ref="A4:H28"/>
  <sheetViews>
    <sheetView topLeftCell="A13" workbookViewId="0">
      <selection activeCell="I28" sqref="I28"/>
    </sheetView>
  </sheetViews>
  <sheetFormatPr baseColWidth="10" defaultRowHeight="15" x14ac:dyDescent="0.25"/>
  <cols>
    <col min="1" max="1" width="5" customWidth="1"/>
    <col min="2" max="2" width="10.5703125" customWidth="1"/>
    <col min="3" max="3" width="12.42578125" customWidth="1"/>
    <col min="4" max="4" width="21.42578125" style="19" customWidth="1"/>
    <col min="5" max="5" width="24.5703125" customWidth="1"/>
    <col min="6" max="6" width="11.28515625" customWidth="1"/>
    <col min="7" max="7" width="28.7109375" customWidth="1"/>
  </cols>
  <sheetData>
    <row r="4" spans="2:7" ht="15.75" thickBot="1" x14ac:dyDescent="0.3"/>
    <row r="5" spans="2:7" x14ac:dyDescent="0.25">
      <c r="B5" s="52" t="s">
        <v>75</v>
      </c>
      <c r="C5" s="47"/>
      <c r="D5" s="47"/>
      <c r="E5" s="47"/>
      <c r="F5" s="47"/>
      <c r="G5" s="48"/>
    </row>
    <row r="6" spans="2:7" ht="15.75" thickBot="1" x14ac:dyDescent="0.3">
      <c r="B6" s="49"/>
      <c r="C6" s="50"/>
      <c r="D6" s="50"/>
      <c r="E6" s="50"/>
      <c r="F6" s="50"/>
      <c r="G6" s="51"/>
    </row>
    <row r="7" spans="2:7" ht="18.75" x14ac:dyDescent="0.3">
      <c r="B7" s="61" t="s">
        <v>27</v>
      </c>
      <c r="C7" s="62"/>
      <c r="D7" s="62"/>
      <c r="E7" s="62"/>
      <c r="F7" s="62"/>
      <c r="G7" s="63"/>
    </row>
    <row r="8" spans="2:7" ht="48" x14ac:dyDescent="0.3">
      <c r="B8" s="38" t="s">
        <v>3</v>
      </c>
      <c r="C8" s="60" t="s">
        <v>43</v>
      </c>
      <c r="D8" s="29" t="s">
        <v>44</v>
      </c>
      <c r="E8" s="29" t="s">
        <v>39</v>
      </c>
      <c r="F8" s="29" t="s">
        <v>5</v>
      </c>
      <c r="G8" s="39" t="s">
        <v>40</v>
      </c>
    </row>
    <row r="9" spans="2:7" ht="18.75" x14ac:dyDescent="0.3">
      <c r="B9" s="40"/>
      <c r="C9" s="30">
        <v>0.18</v>
      </c>
      <c r="D9" s="31">
        <v>0.08</v>
      </c>
      <c r="E9" s="32"/>
      <c r="F9" s="33"/>
      <c r="G9" s="41"/>
    </row>
    <row r="10" spans="2:7" ht="18.75" x14ac:dyDescent="0.3">
      <c r="B10" s="42" t="s">
        <v>41</v>
      </c>
      <c r="C10" s="35">
        <v>36.07</v>
      </c>
      <c r="D10" s="69">
        <v>15753355</v>
      </c>
      <c r="E10" s="35">
        <v>568223514.85000002</v>
      </c>
      <c r="F10" s="37">
        <v>19.100000000000001</v>
      </c>
      <c r="G10" s="43">
        <v>10853069133.635002</v>
      </c>
    </row>
    <row r="11" spans="2:7" ht="18.75" x14ac:dyDescent="0.3">
      <c r="B11" s="42" t="s">
        <v>42</v>
      </c>
      <c r="C11" s="35">
        <v>44.07</v>
      </c>
      <c r="D11" s="69">
        <v>17643757</v>
      </c>
      <c r="E11" s="35">
        <v>777560370.99000001</v>
      </c>
      <c r="F11" s="37">
        <v>18.850000000000001</v>
      </c>
      <c r="G11" s="43">
        <v>14657012993.161501</v>
      </c>
    </row>
    <row r="12" spans="2:7" ht="18.75" x14ac:dyDescent="0.3">
      <c r="B12" s="42"/>
      <c r="C12" s="35"/>
      <c r="D12" s="69"/>
      <c r="E12" s="34"/>
      <c r="F12" s="37"/>
      <c r="G12" s="41"/>
    </row>
    <row r="13" spans="2:7" ht="18.75" x14ac:dyDescent="0.3">
      <c r="B13" s="42">
        <v>2019</v>
      </c>
      <c r="C13" s="35">
        <v>52</v>
      </c>
      <c r="D13" s="69">
        <v>19055257.559999999</v>
      </c>
      <c r="E13" s="35">
        <v>990873393.11999989</v>
      </c>
      <c r="F13" s="37">
        <v>19.100000000000001</v>
      </c>
      <c r="G13" s="43">
        <v>18925681808.591999</v>
      </c>
    </row>
    <row r="14" spans="2:7" ht="18.75" x14ac:dyDescent="0.3">
      <c r="B14" s="42">
        <v>2020</v>
      </c>
      <c r="C14" s="35">
        <v>61.36</v>
      </c>
      <c r="D14" s="69">
        <v>20579678.16</v>
      </c>
      <c r="E14" s="35">
        <v>1262769051.8975999</v>
      </c>
      <c r="F14" s="37">
        <v>19.8</v>
      </c>
      <c r="G14" s="43">
        <v>25002827227.572479</v>
      </c>
    </row>
    <row r="15" spans="2:7" ht="18.75" x14ac:dyDescent="0.3">
      <c r="B15" s="42">
        <v>2021</v>
      </c>
      <c r="C15" s="35">
        <v>72.41</v>
      </c>
      <c r="D15" s="69">
        <v>22226052</v>
      </c>
      <c r="E15" s="35">
        <v>1609388425.3199999</v>
      </c>
      <c r="F15" s="37">
        <v>20.5</v>
      </c>
      <c r="G15" s="43">
        <v>32992462719.059998</v>
      </c>
    </row>
    <row r="16" spans="2:7" ht="18.75" x14ac:dyDescent="0.3">
      <c r="B16" s="42">
        <v>2022</v>
      </c>
      <c r="C16" s="35">
        <v>85.44</v>
      </c>
      <c r="D16" s="69">
        <v>24004136.609999999</v>
      </c>
      <c r="E16" s="35">
        <v>2050913431.9584</v>
      </c>
      <c r="F16" s="37">
        <v>21.5</v>
      </c>
      <c r="G16" s="43">
        <v>44094638787.105598</v>
      </c>
    </row>
    <row r="17" spans="1:8" ht="18.75" x14ac:dyDescent="0.3">
      <c r="B17" s="42">
        <v>2023</v>
      </c>
      <c r="C17" s="35">
        <v>100.82</v>
      </c>
      <c r="D17" s="69">
        <v>25924467.539999999</v>
      </c>
      <c r="E17" s="35">
        <v>2613704817.3827996</v>
      </c>
      <c r="F17" s="37">
        <v>21.8</v>
      </c>
      <c r="G17" s="43">
        <v>56978765018.94503</v>
      </c>
    </row>
    <row r="18" spans="1:8" ht="18.75" x14ac:dyDescent="0.3">
      <c r="B18" s="42"/>
      <c r="C18" s="35"/>
      <c r="D18" s="69"/>
      <c r="E18" s="35"/>
      <c r="F18" s="37"/>
      <c r="G18" s="43"/>
    </row>
    <row r="19" spans="1:8" ht="19.5" thickBot="1" x14ac:dyDescent="0.35">
      <c r="B19" s="64" t="s">
        <v>28</v>
      </c>
      <c r="C19" s="65"/>
      <c r="D19" s="70">
        <f>SUM(D13:D18)</f>
        <v>111789591.87</v>
      </c>
      <c r="E19" s="65">
        <v>8527649119.6787987</v>
      </c>
      <c r="F19" s="66"/>
      <c r="G19" s="67">
        <v>177994375561.27512</v>
      </c>
    </row>
    <row r="21" spans="1:8" x14ac:dyDescent="0.25">
      <c r="A21" s="68"/>
      <c r="B21" s="72" t="s">
        <v>45</v>
      </c>
      <c r="C21" s="73"/>
      <c r="D21" s="74"/>
      <c r="E21" s="73" t="s">
        <v>49</v>
      </c>
      <c r="F21" s="73"/>
      <c r="G21" s="75"/>
    </row>
    <row r="22" spans="1:8" x14ac:dyDescent="0.25">
      <c r="A22" s="68"/>
      <c r="B22" s="72" t="s">
        <v>47</v>
      </c>
      <c r="C22" s="73"/>
      <c r="D22" s="74"/>
      <c r="E22" s="76" t="s">
        <v>46</v>
      </c>
      <c r="F22" s="77"/>
      <c r="G22" s="78"/>
      <c r="H22" s="28"/>
    </row>
    <row r="23" spans="1:8" x14ac:dyDescent="0.25">
      <c r="A23" s="68"/>
      <c r="B23" s="72" t="s">
        <v>50</v>
      </c>
      <c r="C23" s="73"/>
      <c r="D23" s="74"/>
      <c r="E23" s="73"/>
      <c r="F23" s="73"/>
      <c r="G23" s="75"/>
    </row>
    <row r="24" spans="1:8" x14ac:dyDescent="0.25">
      <c r="A24" s="68"/>
      <c r="B24" s="72" t="s">
        <v>51</v>
      </c>
      <c r="C24" s="73"/>
      <c r="D24" s="74"/>
      <c r="E24" s="73"/>
      <c r="F24" s="73"/>
      <c r="G24" s="75"/>
    </row>
    <row r="25" spans="1:8" x14ac:dyDescent="0.25">
      <c r="A25" s="68"/>
      <c r="B25" s="68"/>
      <c r="C25" s="68"/>
      <c r="D25" s="71"/>
      <c r="E25" s="68"/>
      <c r="F25" s="68"/>
      <c r="G25" s="68"/>
    </row>
    <row r="27" spans="1:8" x14ac:dyDescent="0.25">
      <c r="A27" s="79"/>
      <c r="B27" s="80" t="s">
        <v>48</v>
      </c>
      <c r="C27" s="79"/>
      <c r="D27" s="81"/>
    </row>
    <row r="28" spans="1:8" x14ac:dyDescent="0.25">
      <c r="A28" s="79"/>
      <c r="B28" s="80" t="s">
        <v>76</v>
      </c>
      <c r="C28" s="79"/>
      <c r="D28" s="81"/>
      <c r="G28" s="114" t="s">
        <v>79</v>
      </c>
    </row>
  </sheetData>
  <mergeCells count="3">
    <mergeCell ref="B7:G7"/>
    <mergeCell ref="B5:G6"/>
    <mergeCell ref="E22:G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CDEC-6A22-4808-9376-6064B61ABF01}">
  <dimension ref="B2:G29"/>
  <sheetViews>
    <sheetView tabSelected="1" workbookViewId="0">
      <selection activeCell="I15" sqref="I15"/>
    </sheetView>
  </sheetViews>
  <sheetFormatPr baseColWidth="10" defaultRowHeight="15" x14ac:dyDescent="0.25"/>
  <cols>
    <col min="4" max="4" width="21.7109375" customWidth="1"/>
    <col min="5" max="5" width="24.140625" customWidth="1"/>
    <col min="7" max="7" width="26.28515625" customWidth="1"/>
  </cols>
  <sheetData>
    <row r="2" spans="2:7" s="28" customFormat="1" x14ac:dyDescent="0.25"/>
    <row r="3" spans="2:7" s="28" customFormat="1" x14ac:dyDescent="0.25"/>
    <row r="4" spans="2:7" ht="15.75" thickBot="1" x14ac:dyDescent="0.3"/>
    <row r="5" spans="2:7" x14ac:dyDescent="0.25">
      <c r="B5" s="52" t="s">
        <v>74</v>
      </c>
      <c r="C5" s="47"/>
      <c r="D5" s="47"/>
      <c r="E5" s="47"/>
      <c r="F5" s="47"/>
      <c r="G5" s="48"/>
    </row>
    <row r="6" spans="2:7" ht="15.75" thickBot="1" x14ac:dyDescent="0.3">
      <c r="B6" s="49"/>
      <c r="C6" s="50"/>
      <c r="D6" s="50"/>
      <c r="E6" s="50"/>
      <c r="F6" s="50"/>
      <c r="G6" s="51"/>
    </row>
    <row r="7" spans="2:7" s="27" customFormat="1" ht="18.75" x14ac:dyDescent="0.3">
      <c r="B7" s="82" t="s">
        <v>26</v>
      </c>
      <c r="C7" s="83"/>
      <c r="D7" s="83"/>
      <c r="E7" s="83"/>
      <c r="F7" s="83"/>
      <c r="G7" s="84"/>
    </row>
    <row r="8" spans="2:7" ht="37.5" x14ac:dyDescent="0.3">
      <c r="B8" s="85" t="s">
        <v>3</v>
      </c>
      <c r="C8" s="86" t="s">
        <v>54</v>
      </c>
      <c r="D8" s="86" t="s">
        <v>55</v>
      </c>
      <c r="E8" s="86" t="s">
        <v>30</v>
      </c>
      <c r="F8" s="86" t="s">
        <v>5</v>
      </c>
      <c r="G8" s="87" t="s">
        <v>23</v>
      </c>
    </row>
    <row r="9" spans="2:7" ht="18.75" x14ac:dyDescent="0.3">
      <c r="B9" s="42"/>
      <c r="C9" s="30">
        <v>0.05</v>
      </c>
      <c r="D9" s="88">
        <v>0.03</v>
      </c>
      <c r="E9" s="35"/>
      <c r="F9" s="33"/>
      <c r="G9" s="41"/>
    </row>
    <row r="10" spans="2:7" ht="18.75" x14ac:dyDescent="0.3">
      <c r="B10" s="40">
        <v>2017</v>
      </c>
      <c r="C10" s="35">
        <v>23.2</v>
      </c>
      <c r="D10" s="36">
        <v>28979063</v>
      </c>
      <c r="E10" s="37">
        <v>672314261.60000002</v>
      </c>
      <c r="F10" s="37">
        <v>19.100000000000001</v>
      </c>
      <c r="G10" s="89">
        <v>12841202396.560001</v>
      </c>
    </row>
    <row r="11" spans="2:7" ht="18.75" x14ac:dyDescent="0.3">
      <c r="B11" s="40">
        <v>2018</v>
      </c>
      <c r="C11" s="35">
        <v>23.2</v>
      </c>
      <c r="D11" s="36">
        <v>29993330</v>
      </c>
      <c r="E11" s="37">
        <v>695845256</v>
      </c>
      <c r="F11" s="37">
        <v>18.850000000000001</v>
      </c>
      <c r="G11" s="89">
        <v>13116683075.6</v>
      </c>
    </row>
    <row r="12" spans="2:7" ht="18.75" x14ac:dyDescent="0.3">
      <c r="B12" s="40"/>
      <c r="C12" s="35"/>
      <c r="D12" s="36"/>
      <c r="E12" s="37">
        <v>0</v>
      </c>
      <c r="F12" s="37"/>
      <c r="G12" s="90"/>
    </row>
    <row r="13" spans="2:7" ht="18.75" x14ac:dyDescent="0.3">
      <c r="B13" s="40">
        <v>2019</v>
      </c>
      <c r="C13" s="35">
        <v>24.36</v>
      </c>
      <c r="D13" s="36">
        <v>30893129.899999999</v>
      </c>
      <c r="E13" s="37">
        <v>752556644.36399996</v>
      </c>
      <c r="F13" s="37">
        <v>19.100000000000001</v>
      </c>
      <c r="G13" s="89">
        <v>14373831907.3524</v>
      </c>
    </row>
    <row r="14" spans="2:7" ht="18.75" x14ac:dyDescent="0.3">
      <c r="B14" s="40">
        <v>2020</v>
      </c>
      <c r="C14" s="35">
        <v>25.38</v>
      </c>
      <c r="D14" s="36">
        <v>31819923.800000001</v>
      </c>
      <c r="E14" s="37">
        <v>807589666.04400003</v>
      </c>
      <c r="F14" s="37">
        <v>19.8</v>
      </c>
      <c r="G14" s="89">
        <v>15990275387.671202</v>
      </c>
    </row>
    <row r="15" spans="2:7" ht="18.75" x14ac:dyDescent="0.3">
      <c r="B15" s="40">
        <v>2021</v>
      </c>
      <c r="C15" s="35">
        <v>26.86</v>
      </c>
      <c r="D15" s="36">
        <v>32774521.510000002</v>
      </c>
      <c r="E15" s="37">
        <v>880323647.7586</v>
      </c>
      <c r="F15" s="37">
        <v>20.5</v>
      </c>
      <c r="G15" s="89">
        <v>18046634779.0513</v>
      </c>
    </row>
    <row r="16" spans="2:7" ht="18.75" x14ac:dyDescent="0.3">
      <c r="B16" s="40">
        <v>2022</v>
      </c>
      <c r="C16" s="35">
        <v>28.2</v>
      </c>
      <c r="D16" s="36">
        <v>33757757.159999996</v>
      </c>
      <c r="E16" s="37">
        <v>951968751.91199982</v>
      </c>
      <c r="F16" s="37">
        <v>21.5</v>
      </c>
      <c r="G16" s="89">
        <v>20467328166.107998</v>
      </c>
    </row>
    <row r="17" spans="2:7" ht="18.75" x14ac:dyDescent="0.3">
      <c r="B17" s="40">
        <v>2023</v>
      </c>
      <c r="C17" s="35">
        <v>29.61</v>
      </c>
      <c r="D17" s="36">
        <v>34770489.869999997</v>
      </c>
      <c r="E17" s="37">
        <v>1029554205.0506999</v>
      </c>
      <c r="F17" s="37">
        <v>21.8</v>
      </c>
      <c r="G17" s="89">
        <v>22444281670.105259</v>
      </c>
    </row>
    <row r="18" spans="2:7" ht="18.75" x14ac:dyDescent="0.3">
      <c r="B18" s="40"/>
      <c r="C18" s="35"/>
      <c r="D18" s="33"/>
      <c r="E18" s="37"/>
      <c r="F18" s="37"/>
      <c r="G18" s="89"/>
    </row>
    <row r="19" spans="2:7" ht="19.5" thickBot="1" x14ac:dyDescent="0.35">
      <c r="B19" s="64" t="s">
        <v>21</v>
      </c>
      <c r="C19" s="65"/>
      <c r="D19" s="91">
        <f>SUM(D13:D18)</f>
        <v>164015822.24000001</v>
      </c>
      <c r="E19" s="66">
        <v>4421992915.1293001</v>
      </c>
      <c r="F19" s="66"/>
      <c r="G19" s="92">
        <v>91322351910.288162</v>
      </c>
    </row>
    <row r="20" spans="2:7" x14ac:dyDescent="0.25">
      <c r="B20" s="68"/>
      <c r="C20" s="68"/>
      <c r="D20" s="71"/>
      <c r="E20" s="68"/>
      <c r="F20" s="68"/>
      <c r="G20" s="68"/>
    </row>
    <row r="21" spans="2:7" x14ac:dyDescent="0.25">
      <c r="B21" s="72" t="s">
        <v>52</v>
      </c>
      <c r="C21" s="73"/>
      <c r="D21" s="74"/>
      <c r="E21" s="73" t="s">
        <v>58</v>
      </c>
      <c r="F21" s="73"/>
      <c r="G21" s="75"/>
    </row>
    <row r="22" spans="2:7" x14ac:dyDescent="0.25">
      <c r="B22" s="72" t="s">
        <v>53</v>
      </c>
      <c r="C22" s="73"/>
      <c r="D22" s="74"/>
      <c r="E22" s="76" t="s">
        <v>57</v>
      </c>
      <c r="F22" s="77"/>
      <c r="G22" s="78"/>
    </row>
    <row r="23" spans="2:7" x14ac:dyDescent="0.25">
      <c r="B23" s="72" t="s">
        <v>59</v>
      </c>
      <c r="C23" s="73"/>
      <c r="D23" s="74"/>
      <c r="E23" s="73"/>
      <c r="F23" s="73"/>
      <c r="G23" s="75"/>
    </row>
    <row r="24" spans="2:7" x14ac:dyDescent="0.25">
      <c r="B24" s="72" t="s">
        <v>56</v>
      </c>
      <c r="C24" s="73"/>
      <c r="D24" s="74"/>
      <c r="E24" s="73"/>
      <c r="F24" s="73"/>
      <c r="G24" s="75"/>
    </row>
    <row r="25" spans="2:7" x14ac:dyDescent="0.25">
      <c r="B25" s="68"/>
      <c r="C25" s="68"/>
      <c r="D25" s="71"/>
      <c r="E25" s="68"/>
      <c r="F25" s="68"/>
      <c r="G25" s="68"/>
    </row>
    <row r="26" spans="2:7" x14ac:dyDescent="0.25">
      <c r="B26" s="79"/>
      <c r="C26" s="79"/>
      <c r="D26" s="81"/>
      <c r="E26" s="68"/>
      <c r="F26" s="68"/>
      <c r="G26" s="68"/>
    </row>
    <row r="27" spans="2:7" x14ac:dyDescent="0.25">
      <c r="B27" s="80" t="s">
        <v>48</v>
      </c>
      <c r="C27" s="79"/>
      <c r="D27" s="81"/>
    </row>
    <row r="28" spans="2:7" x14ac:dyDescent="0.25">
      <c r="B28" s="80" t="s">
        <v>77</v>
      </c>
      <c r="C28" s="79"/>
      <c r="D28" s="81"/>
      <c r="G28" s="114" t="s">
        <v>80</v>
      </c>
    </row>
    <row r="29" spans="2:7" x14ac:dyDescent="0.25">
      <c r="D29" s="19"/>
    </row>
  </sheetData>
  <mergeCells count="3">
    <mergeCell ref="B7:G7"/>
    <mergeCell ref="B5:G6"/>
    <mergeCell ref="E22:G2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2E1C-F3CF-48D2-8A39-DC6FF6157270}">
  <dimension ref="B2:G29"/>
  <sheetViews>
    <sheetView topLeftCell="A10" workbookViewId="0">
      <selection activeCell="H22" sqref="H22"/>
    </sheetView>
  </sheetViews>
  <sheetFormatPr baseColWidth="10" defaultRowHeight="15" x14ac:dyDescent="0.25"/>
  <cols>
    <col min="2" max="2" width="12" style="20" customWidth="1"/>
    <col min="3" max="3" width="28.28515625" customWidth="1"/>
    <col min="4" max="4" width="31" customWidth="1"/>
    <col min="5" max="5" width="25.28515625" style="19" customWidth="1"/>
    <col min="6" max="6" width="13.42578125" customWidth="1"/>
  </cols>
  <sheetData>
    <row r="2" spans="2:7" ht="15.75" thickBot="1" x14ac:dyDescent="0.3"/>
    <row r="3" spans="2:7" x14ac:dyDescent="0.25">
      <c r="B3" s="95" t="s">
        <v>61</v>
      </c>
      <c r="C3" s="55"/>
      <c r="D3" s="55"/>
      <c r="E3" s="56"/>
    </row>
    <row r="4" spans="2:7" x14ac:dyDescent="0.25">
      <c r="B4" s="57"/>
      <c r="C4" s="53"/>
      <c r="D4" s="53"/>
      <c r="E4" s="58"/>
    </row>
    <row r="5" spans="2:7" ht="19.5" thickBot="1" x14ac:dyDescent="0.35">
      <c r="B5" s="98" t="s">
        <v>3</v>
      </c>
      <c r="C5" s="99" t="s">
        <v>28</v>
      </c>
      <c r="D5" s="99"/>
      <c r="E5" s="100"/>
    </row>
    <row r="6" spans="2:7" s="20" customFormat="1" ht="37.5" x14ac:dyDescent="0.3">
      <c r="B6" s="101"/>
      <c r="C6" s="102" t="s">
        <v>35</v>
      </c>
      <c r="D6" s="102" t="s">
        <v>29</v>
      </c>
      <c r="E6" s="103" t="s">
        <v>9</v>
      </c>
    </row>
    <row r="7" spans="2:7" ht="18.75" x14ac:dyDescent="0.3">
      <c r="B7" s="59"/>
      <c r="C7" s="54"/>
      <c r="D7" s="34"/>
      <c r="E7" s="115"/>
    </row>
    <row r="8" spans="2:7" ht="18.75" x14ac:dyDescent="0.3">
      <c r="B8" s="42">
        <v>2017</v>
      </c>
      <c r="C8" s="54">
        <v>1240537776.45</v>
      </c>
      <c r="D8" s="54">
        <v>23694271530.200001</v>
      </c>
      <c r="E8" s="116">
        <v>44732418</v>
      </c>
    </row>
    <row r="9" spans="2:7" ht="18.75" x14ac:dyDescent="0.3">
      <c r="B9" s="42">
        <v>2018</v>
      </c>
      <c r="C9" s="54">
        <v>1473405626.99</v>
      </c>
      <c r="D9" s="54">
        <v>27773696068.759998</v>
      </c>
      <c r="E9" s="116">
        <v>47637087</v>
      </c>
      <c r="G9" s="94"/>
    </row>
    <row r="10" spans="2:7" ht="18.75" x14ac:dyDescent="0.3">
      <c r="B10" s="42"/>
      <c r="C10" s="54"/>
      <c r="D10" s="54"/>
      <c r="E10" s="117"/>
    </row>
    <row r="11" spans="2:7" ht="18.75" x14ac:dyDescent="0.3">
      <c r="B11" s="42">
        <v>2019</v>
      </c>
      <c r="C11" s="35">
        <v>1743430037.4839997</v>
      </c>
      <c r="D11" s="35">
        <v>33299513715.944397</v>
      </c>
      <c r="E11" s="116">
        <v>49948387.459999993</v>
      </c>
    </row>
    <row r="12" spans="2:7" ht="18.75" x14ac:dyDescent="0.3">
      <c r="B12" s="42">
        <v>2020</v>
      </c>
      <c r="C12" s="35">
        <v>2070358717.9415998</v>
      </c>
      <c r="D12" s="35">
        <v>40993102615.243683</v>
      </c>
      <c r="E12" s="116">
        <v>52399601.960000001</v>
      </c>
    </row>
    <row r="13" spans="2:7" ht="18.75" x14ac:dyDescent="0.3">
      <c r="B13" s="42">
        <v>2021</v>
      </c>
      <c r="C13" s="35">
        <v>2489712073.0785999</v>
      </c>
      <c r="D13" s="35">
        <v>51039097498.111298</v>
      </c>
      <c r="E13" s="116">
        <v>55000573.510000005</v>
      </c>
    </row>
    <row r="14" spans="2:7" ht="18.75" x14ac:dyDescent="0.3">
      <c r="B14" s="42">
        <v>2022</v>
      </c>
      <c r="C14" s="35">
        <v>3002882183.8704</v>
      </c>
      <c r="D14" s="35">
        <v>64561966953.213593</v>
      </c>
      <c r="E14" s="116">
        <v>57761893.769999996</v>
      </c>
    </row>
    <row r="15" spans="2:7" ht="18.75" x14ac:dyDescent="0.3">
      <c r="B15" s="96">
        <v>2023</v>
      </c>
      <c r="C15" s="35">
        <v>3643259022.4334993</v>
      </c>
      <c r="D15" s="35">
        <v>79423046689.050293</v>
      </c>
      <c r="E15" s="116">
        <v>60694957.409999996</v>
      </c>
    </row>
    <row r="16" spans="2:7" ht="18.75" x14ac:dyDescent="0.3">
      <c r="B16" s="97"/>
      <c r="C16" s="35"/>
      <c r="D16" s="35"/>
      <c r="E16" s="115"/>
    </row>
    <row r="17" spans="2:6" ht="18.75" x14ac:dyDescent="0.3">
      <c r="B17" s="105"/>
      <c r="C17" s="106">
        <v>12949642034.808098</v>
      </c>
      <c r="D17" s="107">
        <v>269316727471.56326</v>
      </c>
      <c r="E17" s="118">
        <f>SUM(E11:E16)</f>
        <v>275805414.11000001</v>
      </c>
    </row>
    <row r="18" spans="2:6" ht="18.75" x14ac:dyDescent="0.3">
      <c r="B18" s="108"/>
      <c r="C18" s="109"/>
      <c r="D18" s="110"/>
      <c r="E18" s="119"/>
      <c r="F18" s="104"/>
    </row>
    <row r="19" spans="2:6" ht="37.5" x14ac:dyDescent="0.3">
      <c r="B19" s="111" t="s">
        <v>73</v>
      </c>
      <c r="C19" s="112" t="s">
        <v>69</v>
      </c>
      <c r="D19" s="113" t="s">
        <v>71</v>
      </c>
      <c r="E19" s="120" t="s">
        <v>72</v>
      </c>
      <c r="F19" t="s">
        <v>70</v>
      </c>
    </row>
    <row r="20" spans="2:6" x14ac:dyDescent="0.25">
      <c r="E20" s="122" t="s">
        <v>63</v>
      </c>
    </row>
    <row r="21" spans="2:6" x14ac:dyDescent="0.25">
      <c r="B21" s="72" t="s">
        <v>36</v>
      </c>
      <c r="C21" s="73"/>
      <c r="D21" s="73"/>
      <c r="E21" s="123" t="s">
        <v>64</v>
      </c>
    </row>
    <row r="22" spans="2:6" x14ac:dyDescent="0.25">
      <c r="B22" s="72" t="s">
        <v>37</v>
      </c>
      <c r="C22" s="73"/>
      <c r="D22" s="73"/>
      <c r="E22" s="124" t="s">
        <v>65</v>
      </c>
    </row>
    <row r="23" spans="2:6" x14ac:dyDescent="0.25">
      <c r="B23" s="72" t="s">
        <v>38</v>
      </c>
      <c r="C23" s="73"/>
      <c r="D23" s="73"/>
      <c r="E23" s="124" t="s">
        <v>66</v>
      </c>
    </row>
    <row r="24" spans="2:6" x14ac:dyDescent="0.25">
      <c r="B24" s="72" t="s">
        <v>62</v>
      </c>
      <c r="C24" s="73"/>
      <c r="D24" s="73"/>
      <c r="E24" s="124" t="s">
        <v>67</v>
      </c>
    </row>
    <row r="25" spans="2:6" x14ac:dyDescent="0.25">
      <c r="B25" s="93" t="s">
        <v>60</v>
      </c>
      <c r="C25" s="93"/>
      <c r="D25" s="93"/>
      <c r="E25" s="121" t="s">
        <v>68</v>
      </c>
    </row>
    <row r="26" spans="2:6" x14ac:dyDescent="0.25">
      <c r="B26" s="68"/>
      <c r="C26" s="68"/>
      <c r="D26" s="68"/>
      <c r="E26" s="71"/>
    </row>
    <row r="27" spans="2:6" x14ac:dyDescent="0.25">
      <c r="B27" s="80" t="s">
        <v>48</v>
      </c>
      <c r="C27" s="79"/>
      <c r="D27" s="81"/>
      <c r="E27" s="114" t="s">
        <v>81</v>
      </c>
    </row>
    <row r="28" spans="2:6" x14ac:dyDescent="0.25">
      <c r="B28" s="80" t="s">
        <v>78</v>
      </c>
      <c r="C28" s="79"/>
      <c r="D28" s="81"/>
    </row>
    <row r="29" spans="2:6" x14ac:dyDescent="0.25">
      <c r="B29"/>
      <c r="D29" s="19"/>
    </row>
  </sheetData>
  <mergeCells count="2">
    <mergeCell ref="C5:E5"/>
    <mergeCell ref="B3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Hoja2</vt:lpstr>
      <vt:lpstr>Hoja4</vt:lpstr>
      <vt:lpstr>Hoja3</vt:lpstr>
      <vt:lpstr>Hoja5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Martinez Alcaraz</dc:creator>
  <cp:lastModifiedBy>Eloisa Davalos</cp:lastModifiedBy>
  <cp:lastPrinted>2018-08-29T21:17:48Z</cp:lastPrinted>
  <dcterms:created xsi:type="dcterms:W3CDTF">2018-08-27T17:38:47Z</dcterms:created>
  <dcterms:modified xsi:type="dcterms:W3CDTF">2018-08-29T21:22:27Z</dcterms:modified>
</cp:coreProperties>
</file>